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djaha\Documents\GithubProjects\NWSDataExtrator\openpyxl\excel_dir\"/>
    </mc:Choice>
  </mc:AlternateContent>
  <xr:revisionPtr revIDLastSave="0" documentId="13_ncr:1_{3FAE15CE-E636-479C-A3B7-0F4298172003}" xr6:coauthVersionLast="47" xr6:coauthVersionMax="47" xr10:uidLastSave="{00000000-0000-0000-0000-000000000000}"/>
  <bookViews>
    <workbookView xWindow="-120" yWindow="-120" windowWidth="29040" windowHeight="15720" tabRatio="915" firstSheet="20" activeTab="20" xr2:uid="{A965446E-858A-4062-ADF9-81237905C0E4}"/>
  </bookViews>
  <sheets>
    <sheet name="135" sheetId="119" r:id="rId1"/>
    <sheet name="134" sheetId="120" r:id="rId2"/>
    <sheet name="133" sheetId="116" r:id="rId3"/>
    <sheet name="132" sheetId="117" r:id="rId4"/>
    <sheet name="131" sheetId="118" r:id="rId5"/>
    <sheet name="130" sheetId="114" r:id="rId6"/>
    <sheet name="129" sheetId="113" r:id="rId7"/>
    <sheet name="128" sheetId="112" r:id="rId8"/>
    <sheet name="127" sheetId="111" r:id="rId9"/>
    <sheet name="126" sheetId="109" r:id="rId10"/>
    <sheet name="125" sheetId="110" r:id="rId11"/>
    <sheet name="124" sheetId="107" r:id="rId12"/>
    <sheet name="123" sheetId="108" r:id="rId13"/>
    <sheet name="122" sheetId="106" r:id="rId14"/>
    <sheet name="121" sheetId="104" r:id="rId15"/>
    <sheet name="120" sheetId="103" r:id="rId16"/>
    <sheet name="119" sheetId="102" r:id="rId17"/>
    <sheet name="118" sheetId="101" r:id="rId18"/>
    <sheet name="117" sheetId="100" r:id="rId19"/>
    <sheet name="116" sheetId="99" r:id="rId20"/>
    <sheet name="115" sheetId="98" r:id="rId21"/>
    <sheet name="114" sheetId="97" r:id="rId22"/>
    <sheet name="113" sheetId="96" r:id="rId23"/>
    <sheet name="112" sheetId="93" r:id="rId24"/>
    <sheet name="111" sheetId="94" r:id="rId25"/>
    <sheet name="110" sheetId="95" r:id="rId26"/>
    <sheet name="109" sheetId="89" r:id="rId27"/>
    <sheet name="108" sheetId="88" r:id="rId28"/>
    <sheet name="107" sheetId="87" r:id="rId29"/>
    <sheet name="106" sheetId="86" r:id="rId30"/>
    <sheet name="105" sheetId="85" r:id="rId31"/>
    <sheet name="104" sheetId="84" r:id="rId32"/>
    <sheet name="103" sheetId="83" r:id="rId33"/>
    <sheet name="102" sheetId="82" r:id="rId34"/>
    <sheet name="101" sheetId="81" r:id="rId35"/>
    <sheet name="100" sheetId="80" r:id="rId36"/>
    <sheet name="099" sheetId="79" r:id="rId37"/>
    <sheet name="098" sheetId="77" r:id="rId38"/>
    <sheet name="097" sheetId="76" r:id="rId39"/>
    <sheet name="096" sheetId="73" r:id="rId40"/>
    <sheet name="095" sheetId="74" r:id="rId41"/>
    <sheet name="094" sheetId="75" r:id="rId42"/>
    <sheet name="093" sheetId="72" r:id="rId43"/>
    <sheet name="092" sheetId="71" r:id="rId44"/>
    <sheet name="091" sheetId="70" r:id="rId45"/>
    <sheet name="082" sheetId="69" r:id="rId46"/>
    <sheet name="081" sheetId="67" r:id="rId47"/>
    <sheet name="080" sheetId="68" r:id="rId48"/>
    <sheet name="079" sheetId="66" r:id="rId49"/>
    <sheet name="067" sheetId="65" r:id="rId50"/>
    <sheet name="066" sheetId="64" r:id="rId51"/>
    <sheet name="065" sheetId="63" r:id="rId52"/>
    <sheet name="064" sheetId="62" r:id="rId53"/>
    <sheet name="063" sheetId="61" r:id="rId54"/>
    <sheet name="062" sheetId="58" r:id="rId55"/>
    <sheet name="061" sheetId="59" r:id="rId56"/>
    <sheet name="060" sheetId="60" r:id="rId57"/>
    <sheet name="052" sheetId="57" r:id="rId58"/>
    <sheet name="051" sheetId="56" r:id="rId59"/>
    <sheet name="050" sheetId="54" r:id="rId60"/>
    <sheet name="049" sheetId="55" r:id="rId61"/>
    <sheet name="048" sheetId="53" r:id="rId62"/>
    <sheet name="047" sheetId="52" r:id="rId63"/>
    <sheet name="046" sheetId="51" r:id="rId64"/>
    <sheet name="045" sheetId="50" r:id="rId65"/>
    <sheet name="044" sheetId="49" r:id="rId66"/>
    <sheet name="043" sheetId="48" r:id="rId67"/>
    <sheet name="042" sheetId="47" r:id="rId68"/>
    <sheet name="041" sheetId="46" r:id="rId69"/>
    <sheet name="040" sheetId="45" r:id="rId70"/>
    <sheet name="039" sheetId="44" r:id="rId71"/>
    <sheet name="038" sheetId="43" r:id="rId72"/>
    <sheet name="037" sheetId="40" r:id="rId73"/>
    <sheet name="036" sheetId="41" r:id="rId74"/>
    <sheet name="035" sheetId="42" r:id="rId75"/>
    <sheet name="034" sheetId="39" r:id="rId76"/>
    <sheet name="033" sheetId="38" r:id="rId77"/>
    <sheet name="032" sheetId="37" r:id="rId78"/>
    <sheet name="031" sheetId="36" r:id="rId79"/>
    <sheet name="030" sheetId="34" r:id="rId80"/>
    <sheet name="029" sheetId="33" r:id="rId81"/>
    <sheet name="028" sheetId="32" r:id="rId82"/>
    <sheet name="027" sheetId="31" r:id="rId83"/>
    <sheet name="026" sheetId="30" r:id="rId84"/>
    <sheet name="025" sheetId="29" r:id="rId85"/>
    <sheet name="024" sheetId="28" r:id="rId86"/>
    <sheet name="023" sheetId="26" r:id="rId87"/>
    <sheet name="022" sheetId="25" r:id="rId88"/>
    <sheet name="021" sheetId="24" r:id="rId89"/>
    <sheet name="020" sheetId="23" r:id="rId90"/>
    <sheet name="019" sheetId="22" r:id="rId91"/>
    <sheet name="018" sheetId="21" r:id="rId92"/>
    <sheet name="017" sheetId="13" r:id="rId93"/>
    <sheet name="016" sheetId="18" r:id="rId94"/>
    <sheet name="015" sheetId="17" r:id="rId95"/>
    <sheet name="014" sheetId="16" r:id="rId96"/>
    <sheet name="013" sheetId="15" r:id="rId97"/>
    <sheet name="012" sheetId="14" r:id="rId98"/>
    <sheet name="011" sheetId="10" r:id="rId99"/>
    <sheet name="010" sheetId="11" r:id="rId100"/>
    <sheet name="009" sheetId="12" r:id="rId101"/>
    <sheet name="008" sheetId="9" r:id="rId102"/>
    <sheet name="007" sheetId="8" r:id="rId103"/>
    <sheet name="006" sheetId="7" r:id="rId104"/>
    <sheet name="005" sheetId="5" r:id="rId105"/>
    <sheet name="004" sheetId="4" r:id="rId106"/>
    <sheet name="003" sheetId="3" r:id="rId107"/>
    <sheet name="002" sheetId="2" r:id="rId108"/>
    <sheet name="001" sheetId="1" r:id="rId109"/>
  </sheets>
  <externalReferences>
    <externalReference r:id="rId110"/>
    <externalReference r:id="rId111"/>
  </externalReferences>
  <definedNames>
    <definedName name="note">#REF!</definedName>
    <definedName name="_xlnm.Print_Area" localSheetId="108">'001'!$A$1:$J$42</definedName>
    <definedName name="_xlnm.Print_Area" localSheetId="107">'002'!$A$1:$J$42</definedName>
    <definedName name="_xlnm.Print_Area" localSheetId="106">'003'!$A$1:$J$42</definedName>
    <definedName name="_xlnm.Print_Area" localSheetId="105">'004'!$A$1:$J$42</definedName>
    <definedName name="_xlnm.Print_Area" localSheetId="104">'005'!$A$1:$J$42</definedName>
    <definedName name="_xlnm.Print_Area" localSheetId="103">'006'!$A$1:$J$42</definedName>
    <definedName name="_xlnm.Print_Area" localSheetId="102">'007'!$A$1:$J$42</definedName>
    <definedName name="_xlnm.Print_Area" localSheetId="101">'008'!$A$1:$J$42</definedName>
    <definedName name="_xlnm.Print_Area" localSheetId="100">'009'!$A$1:$J$42</definedName>
    <definedName name="_xlnm.Print_Area" localSheetId="99">'010'!$A$1:$J$42</definedName>
    <definedName name="_xlnm.Print_Area" localSheetId="98">'011'!$A$1:$J$42</definedName>
    <definedName name="_xlnm.Print_Area" localSheetId="97">'012'!$A$1:$J$42</definedName>
    <definedName name="_xlnm.Print_Area" localSheetId="96">'013'!$A$1:$J$42</definedName>
    <definedName name="_xlnm.Print_Area" localSheetId="95">'014'!$A$1:$J$42</definedName>
    <definedName name="_xlnm.Print_Area" localSheetId="94">'015'!$A$1:$J$42</definedName>
    <definedName name="_xlnm.Print_Area" localSheetId="93">'016'!$A$1:$J$42</definedName>
    <definedName name="_xlnm.Print_Area" localSheetId="92">'017'!$A$1:$J$42</definedName>
    <definedName name="_xlnm.Print_Area" localSheetId="91">'018'!$A$1:$J$42</definedName>
    <definedName name="_xlnm.Print_Area" localSheetId="90">'019'!$A$1:$J$42</definedName>
    <definedName name="_xlnm.Print_Area" localSheetId="89">'020'!$A$1:$J$42</definedName>
    <definedName name="_xlnm.Print_Area" localSheetId="88">'021'!$A$1:$J$42</definedName>
    <definedName name="_xlnm.Print_Area" localSheetId="87">'022'!$A$1:$J$42</definedName>
    <definedName name="_xlnm.Print_Area" localSheetId="86">'023'!$A$1:$J$42</definedName>
    <definedName name="_xlnm.Print_Area" localSheetId="85">'024'!$A$1:$J$42</definedName>
    <definedName name="_xlnm.Print_Area" localSheetId="84">'025'!$A$1:$J$42</definedName>
    <definedName name="_xlnm.Print_Area" localSheetId="83">'026'!$A$1:$J$42</definedName>
    <definedName name="_xlnm.Print_Area" localSheetId="82">'027'!$A$1:$J$42</definedName>
    <definedName name="_xlnm.Print_Area" localSheetId="81">'028'!$A$1:$J$42</definedName>
    <definedName name="_xlnm.Print_Area" localSheetId="80">'029'!$A$1:$J$42</definedName>
    <definedName name="_xlnm.Print_Area" localSheetId="79">'030'!$A$1:$J$42</definedName>
    <definedName name="_xlnm.Print_Area" localSheetId="78">'031'!$A$1:$J$42</definedName>
    <definedName name="_xlnm.Print_Area" localSheetId="77">'032'!$A$1:$J$42</definedName>
    <definedName name="_xlnm.Print_Area" localSheetId="76">'033'!$A$1:$J$42</definedName>
    <definedName name="_xlnm.Print_Area" localSheetId="75">'034'!$A$1:$J$42</definedName>
    <definedName name="_xlnm.Print_Area" localSheetId="74">'035'!$A$1:$J$42</definedName>
    <definedName name="_xlnm.Print_Area" localSheetId="73">'036'!$A$1:$J$42</definedName>
    <definedName name="_xlnm.Print_Area" localSheetId="72">'037'!$A$1:$J$42</definedName>
    <definedName name="_xlnm.Print_Area" localSheetId="71">'038'!$A$1:$J$42</definedName>
    <definedName name="_xlnm.Print_Area" localSheetId="70">'039'!$A$1:$J$42</definedName>
    <definedName name="_xlnm.Print_Area" localSheetId="69">'040'!$A$1:$J$42</definedName>
    <definedName name="_xlnm.Print_Area" localSheetId="68">'041'!$A$1:$J$42</definedName>
    <definedName name="_xlnm.Print_Area" localSheetId="67">'042'!$A$1:$J$42</definedName>
    <definedName name="_xlnm.Print_Area" localSheetId="66">'043'!$A$1:$J$42</definedName>
    <definedName name="_xlnm.Print_Area" localSheetId="65">'044'!$A$1:$J$42</definedName>
    <definedName name="_xlnm.Print_Area" localSheetId="64">'045'!$A$1:$J$42</definedName>
    <definedName name="_xlnm.Print_Area" localSheetId="63">'046'!$A$1:$J$42</definedName>
    <definedName name="_xlnm.Print_Area" localSheetId="62">'047'!$A$1:$J$42</definedName>
    <definedName name="_xlnm.Print_Area" localSheetId="61">'048'!$A$1:$J$42</definedName>
    <definedName name="_xlnm.Print_Area" localSheetId="60">'049'!$A$1:$J$42</definedName>
    <definedName name="_xlnm.Print_Area" localSheetId="59">'050'!$A$1:$J$42</definedName>
    <definedName name="_xlnm.Print_Area" localSheetId="58">'051'!$A$1:$J$42</definedName>
    <definedName name="_xlnm.Print_Area" localSheetId="57">'052'!$A$1:$J$42</definedName>
    <definedName name="_xlnm.Print_Area" localSheetId="56">'060'!$A$1:$J$42</definedName>
    <definedName name="_xlnm.Print_Area" localSheetId="55">'061'!$A$1:$J$42</definedName>
    <definedName name="_xlnm.Print_Area" localSheetId="54">'062'!$A$1:$J$42</definedName>
    <definedName name="_xlnm.Print_Area" localSheetId="53">'063'!$A$1:$J$42</definedName>
    <definedName name="_xlnm.Print_Area" localSheetId="52">'064'!$A$1:$J$42</definedName>
    <definedName name="_xlnm.Print_Area" localSheetId="51">'065'!$A$1:$J$42</definedName>
    <definedName name="_xlnm.Print_Area" localSheetId="50">'066'!$A$1:$J$42</definedName>
    <definedName name="_xlnm.Print_Area" localSheetId="49">'067'!$A$1:$J$42</definedName>
    <definedName name="_xlnm.Print_Area" localSheetId="48">'079'!$A$1:$J$42</definedName>
    <definedName name="_xlnm.Print_Area" localSheetId="47">'080'!$A$1:$J$42</definedName>
    <definedName name="_xlnm.Print_Area" localSheetId="46">'081'!$A$1:$J$42</definedName>
    <definedName name="_xlnm.Print_Area" localSheetId="45">'082'!$A$1:$J$42</definedName>
    <definedName name="_xlnm.Print_Area" localSheetId="44">'091'!$A$1:$J$42</definedName>
    <definedName name="_xlnm.Print_Area" localSheetId="43">'092'!$A$1:$J$42</definedName>
    <definedName name="_xlnm.Print_Area" localSheetId="42">'093'!$A$1:$J$42</definedName>
    <definedName name="_xlnm.Print_Area" localSheetId="41">'094'!$A$1:$J$42</definedName>
    <definedName name="_xlnm.Print_Area" localSheetId="40">'095'!$A$1:$J$42</definedName>
    <definedName name="_xlnm.Print_Area" localSheetId="39">'096'!$A$1:$J$42</definedName>
    <definedName name="_xlnm.Print_Area" localSheetId="38">'097'!$A$1:$J$42</definedName>
    <definedName name="_xlnm.Print_Area" localSheetId="37">'098'!$A$1:$J$42</definedName>
    <definedName name="_xlnm.Print_Area" localSheetId="36">'099'!$A$1:$J$42</definedName>
    <definedName name="_xlnm.Print_Area" localSheetId="35">'100'!$A$1:$J$42</definedName>
    <definedName name="_xlnm.Print_Area" localSheetId="34">'101'!$A$1:$J$42</definedName>
    <definedName name="_xlnm.Print_Area" localSheetId="33">'102'!$A$1:$J$43</definedName>
    <definedName name="_xlnm.Print_Area" localSheetId="32">'103'!$A$1:$J$99</definedName>
    <definedName name="_xlnm.Print_Area" localSheetId="31">'104'!$A$1:$J$42</definedName>
    <definedName name="_xlnm.Print_Area" localSheetId="30">'105'!$A$1:$J$42</definedName>
    <definedName name="_xlnm.Print_Area" localSheetId="29">'106'!$A$1:$J$42</definedName>
    <definedName name="_xlnm.Print_Area" localSheetId="28">'107'!$A$1:$J$42</definedName>
    <definedName name="_xlnm.Print_Area" localSheetId="27">'108'!$A$1:$J$42</definedName>
    <definedName name="_xlnm.Print_Area" localSheetId="26">'109'!$A$1:$J$42</definedName>
    <definedName name="_xlnm.Print_Area" localSheetId="25">'110'!$A$1:$J$42</definedName>
    <definedName name="_xlnm.Print_Area" localSheetId="24">'111'!$A$1:$J$42</definedName>
    <definedName name="_xlnm.Print_Area" localSheetId="23">'112'!$A$1:$J$42</definedName>
    <definedName name="_xlnm.Print_Area" localSheetId="22">'113'!$A$1:$J$42</definedName>
    <definedName name="_xlnm.Print_Area" localSheetId="21">'114'!$A$1:$J$42</definedName>
    <definedName name="_xlnm.Print_Area" localSheetId="20">'115'!$A$1:$J$42</definedName>
    <definedName name="_xlnm.Print_Area" localSheetId="19">'116'!$A$1:$J$42</definedName>
    <definedName name="_xlnm.Print_Area" localSheetId="18">'117'!$A$1:$J$42</definedName>
    <definedName name="_xlnm.Print_Area" localSheetId="17">'118'!$A$1:$J$42</definedName>
    <definedName name="_xlnm.Print_Area" localSheetId="16">'119'!$A$1:$J$42</definedName>
    <definedName name="_xlnm.Print_Area" localSheetId="15">'120'!$A$1:$J$42</definedName>
    <definedName name="_xlnm.Print_Area" localSheetId="14">'121'!$A$1:$J$42</definedName>
    <definedName name="_xlnm.Print_Area" localSheetId="13">'122'!$A$1:$J$42</definedName>
    <definedName name="_xlnm.Print_Area" localSheetId="12">'123'!$A$1:$J$42</definedName>
    <definedName name="_xlnm.Print_Area" localSheetId="11">'124'!$A$1:$J$42</definedName>
    <definedName name="_xlnm.Print_Area" localSheetId="10">'125'!$A$1:$J$42</definedName>
    <definedName name="_xlnm.Print_Area" localSheetId="9">'126'!$A$1:$J$42</definedName>
    <definedName name="_xlnm.Print_Area" localSheetId="8">'127'!$A$1:$J$42</definedName>
    <definedName name="_xlnm.Print_Area" localSheetId="7">'128'!$A$1:$J$42</definedName>
    <definedName name="_xlnm.Print_Area" localSheetId="6">'129'!$A$1:$J$42</definedName>
    <definedName name="_xlnm.Print_Area" localSheetId="5">'130'!$A$1:$J$42</definedName>
    <definedName name="_xlnm.Print_Area" localSheetId="4">'131'!$A$1:$J$42</definedName>
    <definedName name="_xlnm.Print_Area" localSheetId="3">'132'!$A$1:$J$42</definedName>
    <definedName name="_xlnm.Print_Area" localSheetId="2">'133'!$A$1:$J$42</definedName>
    <definedName name="_xlnm.Print_Area" localSheetId="1">'134'!$A$1:$J$42</definedName>
    <definedName name="_xlnm.Print_Area" localSheetId="0">'135'!$A$1:$J$42</definedName>
    <definedName name="rs_table">'[1]001'!$B$11:$J$25,'[1]001'!$D$26:$E$27</definedName>
    <definedName name="RS15_00620" localSheetId="108">[2]MEYNARD!$D$25</definedName>
    <definedName name="RS15_00620" localSheetId="107">[2]MEYNARD!$D$25</definedName>
    <definedName name="RS15_00620" localSheetId="106">[2]MEYNARD!$D$25</definedName>
    <definedName name="RS15_00620" localSheetId="105">[2]MEYNARD!$D$25</definedName>
    <definedName name="RS15_00620" localSheetId="104">[2]MEYNARD!$D$25</definedName>
    <definedName name="RS15_00620" localSheetId="103">[2]MEYNARD!$D$25</definedName>
    <definedName name="RS15_00620" localSheetId="102">[2]MEYNARD!$D$25</definedName>
    <definedName name="RS15_00620" localSheetId="101">[2]MEYNARD!$D$25</definedName>
    <definedName name="RS15_00620" localSheetId="100">[2]MEYNARD!$D$25</definedName>
    <definedName name="RS15_00620" localSheetId="99">[2]MEYNARD!$D$25</definedName>
    <definedName name="RS15_00620" localSheetId="98">[2]MEYNARD!$D$25</definedName>
    <definedName name="RS15_00620" localSheetId="97">[2]MEYNARD!$D$25</definedName>
    <definedName name="RS15_00620" localSheetId="96">[2]MEYNARD!$D$25</definedName>
    <definedName name="RS15_00620" localSheetId="95">[2]MEYNARD!$D$25</definedName>
    <definedName name="RS15_00620" localSheetId="94">[2]MEYNARD!$D$25</definedName>
    <definedName name="RS15_00620" localSheetId="93">[2]MEYNARD!$D$25</definedName>
    <definedName name="RS15_00620" localSheetId="92">[2]MEYNARD!$D$25</definedName>
    <definedName name="RS15_00620" localSheetId="91">[2]MEYNARD!$D$25</definedName>
    <definedName name="RS15_00620" localSheetId="90">[2]MEYNARD!$D$25</definedName>
    <definedName name="RS15_00620" localSheetId="89">[2]MEYNARD!$D$25</definedName>
    <definedName name="RS15_00620" localSheetId="88">[2]MEYNARD!$D$25</definedName>
    <definedName name="RS15_00620" localSheetId="87">[2]MEYNARD!$D$25</definedName>
    <definedName name="RS15_00620" localSheetId="86">[2]MEYNARD!$D$25</definedName>
    <definedName name="RS15_00620" localSheetId="85">[2]MEYNARD!$D$25</definedName>
    <definedName name="RS15_00620" localSheetId="84">[2]MEYNARD!$D$25</definedName>
    <definedName name="RS15_00620" localSheetId="83">[2]MEYNARD!$D$25</definedName>
    <definedName name="RS15_00620" localSheetId="82">[2]MEYNARD!$D$25</definedName>
    <definedName name="RS15_00620" localSheetId="81">[2]MEYNARD!$D$25</definedName>
    <definedName name="RS15_00620" localSheetId="80">[2]MEYNARD!$D$25</definedName>
    <definedName name="RS15_00620" localSheetId="79">[2]MEYNARD!$D$25</definedName>
    <definedName name="RS15_00620" localSheetId="78">[2]MEYNARD!$D$25</definedName>
    <definedName name="RS15_00620" localSheetId="77">[2]MEYNARD!$D$25</definedName>
    <definedName name="RS15_00620" localSheetId="76">[2]MEYNARD!$D$25</definedName>
    <definedName name="RS15_00620" localSheetId="75">[2]MEYNARD!$D$25</definedName>
    <definedName name="RS15_00620" localSheetId="74">[2]MEYNARD!$D$25</definedName>
    <definedName name="RS15_00620" localSheetId="73">[2]MEYNARD!$D$25</definedName>
    <definedName name="RS15_00620" localSheetId="72">[2]MEYNARD!$D$25</definedName>
    <definedName name="RS15_00620" localSheetId="71">[2]MEYNARD!$D$25</definedName>
    <definedName name="RS15_00620" localSheetId="70">[2]MEYNARD!$D$25</definedName>
    <definedName name="RS15_00620" localSheetId="69">[2]MEYNARD!$D$25</definedName>
    <definedName name="RS15_00620" localSheetId="68">[2]MEYNARD!$D$25</definedName>
    <definedName name="RS15_00620" localSheetId="67">[2]MEYNARD!$D$25</definedName>
    <definedName name="RS15_00620" localSheetId="66">[2]MEYNARD!$D$25</definedName>
    <definedName name="RS15_00620" localSheetId="65">[2]MEYNARD!$D$25</definedName>
    <definedName name="RS15_00620" localSheetId="64">[2]MEYNARD!$D$25</definedName>
    <definedName name="RS15_00620" localSheetId="63">[2]MEYNARD!$D$25</definedName>
    <definedName name="RS15_00620" localSheetId="62">[2]MEYNARD!$D$25</definedName>
    <definedName name="RS15_00620" localSheetId="61">[2]MEYNARD!$D$25</definedName>
    <definedName name="RS15_00620" localSheetId="60">[2]MEYNARD!$D$25</definedName>
    <definedName name="RS15_00620" localSheetId="59">[2]MEYNARD!$D$25</definedName>
    <definedName name="RS15_00620" localSheetId="58">[2]MEYNARD!$D$25</definedName>
    <definedName name="RS15_00620" localSheetId="57">[2]MEYNARD!$D$25</definedName>
    <definedName name="RS15_00620" localSheetId="56">[2]MEYNARD!$D$25</definedName>
    <definedName name="RS15_00620" localSheetId="55">[2]MEYNARD!$D$25</definedName>
    <definedName name="RS15_00620" localSheetId="54">[2]MEYNARD!$D$25</definedName>
    <definedName name="RS15_00620" localSheetId="53">[2]MEYNARD!$D$25</definedName>
    <definedName name="RS15_00620" localSheetId="52">[2]MEYNARD!$D$25</definedName>
    <definedName name="RS15_00620" localSheetId="51">[2]MEYNARD!$D$25</definedName>
    <definedName name="RS15_00620" localSheetId="50">[2]MEYNARD!$D$25</definedName>
    <definedName name="RS15_00620" localSheetId="49">[2]MEYNARD!$D$25</definedName>
    <definedName name="RS15_00620" localSheetId="48">[2]MEYNARD!$D$25</definedName>
    <definedName name="RS15_00620" localSheetId="47">[2]MEYNARD!$D$25</definedName>
    <definedName name="RS15_00620" localSheetId="46">[2]MEYNARD!$D$25</definedName>
    <definedName name="RS15_00620" localSheetId="45">[2]MEYNARD!$D$25</definedName>
    <definedName name="RS15_00620" localSheetId="44">[2]MEYNARD!$D$25</definedName>
    <definedName name="RS15_00620" localSheetId="43">[2]MEYNARD!$D$25</definedName>
    <definedName name="RS15_00620" localSheetId="42">[2]MEYNARD!$D$25</definedName>
    <definedName name="RS15_00620" localSheetId="41">[2]MEYNARD!$D$25</definedName>
    <definedName name="RS15_00620" localSheetId="40">[2]MEYNARD!$D$25</definedName>
    <definedName name="RS15_00620" localSheetId="39">[2]MEYNARD!$D$25</definedName>
    <definedName name="RS15_00620" localSheetId="38">[2]MEYNARD!$D$25</definedName>
    <definedName name="RS15_00620" localSheetId="37">[2]MEYNARD!$D$25</definedName>
    <definedName name="RS15_00620" localSheetId="36">[2]MEYNARD!$D$25</definedName>
    <definedName name="RS15_00620" localSheetId="35">[2]MEYNARD!$D$25</definedName>
    <definedName name="RS15_00620" localSheetId="34">[2]MEYNARD!$D$25</definedName>
    <definedName name="RS15_00620" localSheetId="33">[2]MEYNARD!$D$25</definedName>
    <definedName name="RS15_00620" localSheetId="32">[2]MEYNARD!$D$25</definedName>
    <definedName name="RS15_00620" localSheetId="31">[2]MEYNARD!$D$25</definedName>
    <definedName name="RS15_00620" localSheetId="30">[2]MEYNARD!$D$25</definedName>
    <definedName name="RS15_00620" localSheetId="29">[2]MEYNARD!$D$25</definedName>
    <definedName name="RS15_00620" localSheetId="28">[2]MEYNARD!$D$25</definedName>
    <definedName name="RS15_00620" localSheetId="27">[2]MEYNARD!$D$25</definedName>
    <definedName name="RS15_00620" localSheetId="26">[2]MEYNARD!$D$25</definedName>
    <definedName name="RS15_00620" localSheetId="25">[2]MEYNARD!$D$25</definedName>
    <definedName name="RS15_00620" localSheetId="24">[2]MEYNARD!$D$25</definedName>
    <definedName name="RS15_00620" localSheetId="23">[2]MEYNARD!$D$25</definedName>
    <definedName name="RS15_00620" localSheetId="22">[2]MEYNARD!$D$25</definedName>
    <definedName name="RS15_00620" localSheetId="21">[2]MEYNARD!$D$25</definedName>
    <definedName name="RS15_00620" localSheetId="20">[2]MEYNARD!$D$25</definedName>
    <definedName name="RS15_00620" localSheetId="19">[2]MEYNARD!$D$25</definedName>
    <definedName name="RS15_00620" localSheetId="18">[2]MEYNARD!$D$25</definedName>
    <definedName name="RS15_00620" localSheetId="17">[2]MEYNARD!$D$25</definedName>
    <definedName name="RS15_00620" localSheetId="16">[2]MEYNARD!$D$25</definedName>
    <definedName name="RS15_00620" localSheetId="15">[2]MEYNARD!$D$25</definedName>
    <definedName name="RS15_00620" localSheetId="14">[2]MEYNARD!$D$25</definedName>
    <definedName name="RS15_00620" localSheetId="13">[2]MEYNARD!$D$25</definedName>
    <definedName name="RS15_00620" localSheetId="12">[2]MEYNARD!$D$25</definedName>
    <definedName name="RS15_00620" localSheetId="11">[2]MEYNARD!$D$25</definedName>
    <definedName name="RS15_00620" localSheetId="10">[2]MEYNARD!$D$25</definedName>
    <definedName name="RS15_00620" localSheetId="9">[2]MEYNARD!$D$25</definedName>
    <definedName name="RS15_00620" localSheetId="8">[2]MEYNARD!$D$25</definedName>
    <definedName name="RS15_00620" localSheetId="7">[2]MEYNARD!$D$25</definedName>
    <definedName name="RS15_00620" localSheetId="6">[2]MEYNARD!$D$25</definedName>
    <definedName name="RS15_00620" localSheetId="5">[2]MEYNARD!$D$25</definedName>
    <definedName name="RS15_00620" localSheetId="4">[2]MEYNARD!$D$25</definedName>
    <definedName name="RS15_00620" localSheetId="3">[2]MEYNARD!$D$25</definedName>
    <definedName name="RS15_00620" localSheetId="2">[2]MEYNARD!$D$25</definedName>
    <definedName name="RS15_00620" localSheetId="1">[2]MEYNARD!$D$25</definedName>
    <definedName name="RS15_00620" localSheetId="0">[2]MEYNARD!$D$25</definedName>
    <definedName name="RSlip_Table">'[1]001'!$B$11:$J$25,'[1]001'!$D$26+'[1]001'!$B$11:$J$25,'[1]001'!$D$26:$E$27,'[1]001'!$C$34,'[1]001'!$J$34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19" i="9" l="1"/>
  <c r="M24" i="9"/>
  <c r="M18" i="9"/>
  <c r="L10" i="120"/>
  <c r="J10" i="120"/>
  <c r="J26" i="120" s="1"/>
  <c r="L19" i="119"/>
  <c r="J10" i="119"/>
  <c r="J26" i="119" s="1"/>
  <c r="J11" i="118"/>
  <c r="J26" i="118" s="1"/>
  <c r="N9" i="118"/>
  <c r="J11" i="117"/>
  <c r="J26" i="117" s="1"/>
  <c r="N10" i="117"/>
  <c r="J11" i="116"/>
  <c r="J26" i="116" s="1"/>
  <c r="J10" i="111" l="1"/>
  <c r="F11" i="114" l="1"/>
  <c r="F10" i="114"/>
  <c r="N14" i="114" l="1"/>
  <c r="O14" i="114"/>
  <c r="M14" i="114"/>
  <c r="L10" i="114"/>
  <c r="L11" i="114" s="1"/>
  <c r="L9" i="114"/>
  <c r="J11" i="114"/>
  <c r="J10" i="114"/>
  <c r="J26" i="114" s="1"/>
  <c r="O10" i="113" l="1"/>
  <c r="O9" i="113"/>
  <c r="O6" i="113"/>
  <c r="O7" i="113" s="1"/>
  <c r="B12" i="113" l="1"/>
  <c r="J11" i="113"/>
  <c r="J12" i="113"/>
  <c r="K10" i="113"/>
  <c r="J10" i="113"/>
  <c r="P7" i="113"/>
  <c r="Q6" i="113"/>
  <c r="P6" i="113"/>
  <c r="J26" i="113" l="1"/>
  <c r="K10" i="112" l="1"/>
  <c r="J10" i="112"/>
  <c r="J26" i="112" s="1"/>
  <c r="P7" i="112"/>
  <c r="Q6" i="112"/>
  <c r="P6" i="112"/>
  <c r="L19" i="111"/>
  <c r="J26" i="111"/>
  <c r="L10" i="110" l="1"/>
  <c r="J10" i="110"/>
  <c r="J26" i="110" s="1"/>
  <c r="L19" i="109"/>
  <c r="J10" i="109"/>
  <c r="J26" i="109" s="1"/>
  <c r="L26" i="104" l="1"/>
  <c r="J12" i="107" l="1"/>
  <c r="F10" i="107"/>
  <c r="F11" i="107"/>
  <c r="J11" i="107" s="1"/>
  <c r="F11" i="108" l="1"/>
  <c r="J11" i="108" s="1"/>
  <c r="F10" i="108"/>
  <c r="J10" i="108" s="1"/>
  <c r="O43" i="108"/>
  <c r="N17" i="108"/>
  <c r="Q7" i="108"/>
  <c r="N5" i="108"/>
  <c r="N6" i="108" s="1"/>
  <c r="N4" i="108"/>
  <c r="O20" i="107"/>
  <c r="J10" i="107"/>
  <c r="J26" i="107" s="1"/>
  <c r="M14" i="106"/>
  <c r="P12" i="106"/>
  <c r="J10" i="106"/>
  <c r="L10" i="106" s="1"/>
  <c r="N4" i="106"/>
  <c r="J26" i="106" l="1"/>
  <c r="J26" i="108"/>
  <c r="Q7" i="68"/>
  <c r="J26" i="104"/>
  <c r="J10" i="103"/>
  <c r="J26" i="103" s="1"/>
  <c r="L13" i="84"/>
  <c r="J11" i="102"/>
  <c r="M18" i="102"/>
  <c r="J10" i="102"/>
  <c r="M13" i="101"/>
  <c r="J13" i="101"/>
  <c r="M12" i="101"/>
  <c r="J12" i="101"/>
  <c r="M11" i="101"/>
  <c r="J11" i="101"/>
  <c r="J10" i="101"/>
  <c r="M18" i="101"/>
  <c r="J15" i="100"/>
  <c r="J26" i="102" l="1"/>
  <c r="J26" i="101"/>
  <c r="L12" i="100"/>
  <c r="M12" i="100" s="1"/>
  <c r="E49" i="100"/>
  <c r="E48" i="100"/>
  <c r="L49" i="100"/>
  <c r="J49" i="100"/>
  <c r="E45" i="100"/>
  <c r="E46" i="100" s="1"/>
  <c r="J10" i="100"/>
  <c r="J26" i="100" s="1"/>
  <c r="L13" i="100" l="1"/>
  <c r="J10" i="99"/>
  <c r="J26" i="99" s="1"/>
  <c r="L19" i="98"/>
  <c r="J10" i="98"/>
  <c r="J26" i="98" s="1"/>
  <c r="L19" i="97"/>
  <c r="J10" i="97"/>
  <c r="J26" i="97" s="1"/>
  <c r="J10" i="96"/>
  <c r="J26" i="96" s="1"/>
  <c r="J11" i="95"/>
  <c r="J26" i="95" s="1"/>
  <c r="N9" i="95"/>
  <c r="J11" i="94"/>
  <c r="J26" i="94" s="1"/>
  <c r="N10" i="94"/>
  <c r="J11" i="93"/>
  <c r="J26" i="93" s="1"/>
  <c r="K11" i="89"/>
  <c r="K10" i="89"/>
  <c r="J11" i="89"/>
  <c r="J10" i="89"/>
  <c r="P7" i="89"/>
  <c r="Q6" i="89"/>
  <c r="P6" i="89"/>
  <c r="M37" i="88"/>
  <c r="J26" i="88"/>
  <c r="J26" i="89" l="1"/>
  <c r="M37" i="87" l="1"/>
  <c r="J10" i="87"/>
  <c r="J11" i="86"/>
  <c r="M37" i="86"/>
  <c r="J10" i="86"/>
  <c r="J26" i="86" s="1"/>
  <c r="D12" i="85"/>
  <c r="E49" i="85"/>
  <c r="F52" i="85" s="1"/>
  <c r="D45" i="85"/>
  <c r="J10" i="85"/>
  <c r="K12" i="85" s="1"/>
  <c r="D12" i="84"/>
  <c r="E49" i="84"/>
  <c r="F52" i="84" s="1"/>
  <c r="D45" i="84"/>
  <c r="J10" i="84"/>
  <c r="D13" i="1"/>
  <c r="J26" i="83"/>
  <c r="L25" i="83"/>
  <c r="L26" i="83" s="1"/>
  <c r="L25" i="82"/>
  <c r="L26" i="82" s="1"/>
  <c r="J26" i="82"/>
  <c r="E52" i="84" l="1"/>
  <c r="E50" i="84"/>
  <c r="J26" i="87"/>
  <c r="J26" i="85"/>
  <c r="E50" i="85"/>
  <c r="E52" i="85"/>
  <c r="J26" i="84"/>
  <c r="J13" i="81"/>
  <c r="J14" i="81"/>
  <c r="J15" i="81"/>
  <c r="J16" i="81"/>
  <c r="J12" i="81"/>
  <c r="J11" i="81"/>
  <c r="J10" i="81"/>
  <c r="K12" i="84" l="1"/>
  <c r="J26" i="81"/>
  <c r="J10" i="80"/>
  <c r="J26" i="80" s="1"/>
  <c r="J10" i="79"/>
  <c r="J11" i="79"/>
  <c r="J26" i="77"/>
  <c r="J10" i="76"/>
  <c r="J26" i="76" s="1"/>
  <c r="J12" i="73"/>
  <c r="J26" i="79" l="1"/>
  <c r="N9" i="75" l="1"/>
  <c r="J11" i="75" l="1"/>
  <c r="J26" i="75" s="1"/>
  <c r="J11" i="74"/>
  <c r="J26" i="74" s="1"/>
  <c r="N10" i="74"/>
  <c r="J11" i="73"/>
  <c r="J26" i="73" s="1"/>
  <c r="J10" i="72"/>
  <c r="J26" i="72" s="1"/>
  <c r="N9" i="72"/>
  <c r="M14" i="71"/>
  <c r="P12" i="71"/>
  <c r="J10" i="71"/>
  <c r="J26" i="71" s="1"/>
  <c r="N4" i="71"/>
  <c r="J26" i="70" l="1"/>
  <c r="L26" i="70" s="1"/>
  <c r="L21" i="49"/>
  <c r="L22" i="49" s="1"/>
  <c r="J18" i="69" l="1"/>
  <c r="J17" i="69"/>
  <c r="J16" i="69"/>
  <c r="J15" i="69"/>
  <c r="J14" i="69"/>
  <c r="J13" i="69"/>
  <c r="J12" i="69"/>
  <c r="J11" i="69"/>
  <c r="J10" i="69"/>
  <c r="F10" i="67"/>
  <c r="J10" i="67" s="1"/>
  <c r="J26" i="67" s="1"/>
  <c r="F10" i="68"/>
  <c r="J10" i="68" s="1"/>
  <c r="J26" i="68" s="1"/>
  <c r="O43" i="68"/>
  <c r="N17" i="68"/>
  <c r="N5" i="68"/>
  <c r="N6" i="68" s="1"/>
  <c r="N4" i="68"/>
  <c r="O20" i="67"/>
  <c r="J26" i="69" l="1"/>
  <c r="M7" i="66"/>
  <c r="J26" i="66" l="1"/>
  <c r="J11" i="65" l="1"/>
  <c r="J12" i="65"/>
  <c r="J10" i="65"/>
  <c r="N9" i="65"/>
  <c r="J26" i="65" l="1"/>
  <c r="F10" i="64" l="1"/>
  <c r="O20" i="64"/>
  <c r="J10" i="64"/>
  <c r="J26" i="64" s="1"/>
  <c r="J11" i="63" l="1"/>
  <c r="O43" i="63"/>
  <c r="N17" i="63"/>
  <c r="J10" i="63"/>
  <c r="N5" i="63"/>
  <c r="N6" i="63" s="1"/>
  <c r="N4" i="63"/>
  <c r="J26" i="63" l="1"/>
  <c r="J26" i="62" l="1"/>
  <c r="J26" i="61"/>
  <c r="L26" i="61" s="1"/>
  <c r="J11" i="60" l="1"/>
  <c r="J26" i="60" s="1"/>
  <c r="J11" i="59"/>
  <c r="J26" i="59" s="1"/>
  <c r="N10" i="59"/>
  <c r="J11" i="58"/>
  <c r="J26" i="58" s="1"/>
  <c r="M14" i="56"/>
  <c r="P12" i="56" l="1"/>
  <c r="N4" i="56" l="1"/>
  <c r="J11" i="57" l="1"/>
  <c r="J10" i="57" l="1"/>
  <c r="J26" i="57" s="1"/>
  <c r="J10" i="56"/>
  <c r="J26" i="56" s="1"/>
  <c r="J11" i="52"/>
  <c r="J12" i="52"/>
  <c r="J13" i="52"/>
  <c r="J14" i="52"/>
  <c r="J15" i="52"/>
  <c r="J10" i="52"/>
  <c r="J10" i="54"/>
  <c r="J26" i="54" s="1"/>
  <c r="J10" i="55"/>
  <c r="J26" i="55" s="1"/>
  <c r="Q6" i="17" l="1"/>
  <c r="P7" i="17"/>
  <c r="P6" i="17"/>
  <c r="J11" i="53" l="1"/>
  <c r="J10" i="53"/>
  <c r="J26" i="53" l="1"/>
  <c r="L19" i="45"/>
  <c r="J26" i="52"/>
  <c r="J10" i="51"/>
  <c r="J26" i="51" s="1"/>
  <c r="J11" i="50"/>
  <c r="J12" i="50"/>
  <c r="F10" i="50"/>
  <c r="J10" i="50" s="1"/>
  <c r="J26" i="50" l="1"/>
  <c r="J20" i="49"/>
  <c r="J11" i="49"/>
  <c r="J12" i="49"/>
  <c r="J13" i="49"/>
  <c r="J14" i="49"/>
  <c r="J15" i="49"/>
  <c r="J16" i="49"/>
  <c r="J17" i="49"/>
  <c r="J18" i="49"/>
  <c r="J19" i="49"/>
  <c r="J10" i="49"/>
  <c r="J17" i="37"/>
  <c r="J26" i="48"/>
  <c r="J26" i="49" l="1"/>
  <c r="J26" i="47"/>
  <c r="N10" i="41" l="1"/>
  <c r="F16" i="46" l="1"/>
  <c r="J16" i="46" s="1"/>
  <c r="J15" i="46"/>
  <c r="J14" i="46"/>
  <c r="J10" i="46"/>
  <c r="J10" i="45"/>
  <c r="J26" i="45" s="1"/>
  <c r="J26" i="44"/>
  <c r="L26" i="44" s="1"/>
  <c r="F10" i="43"/>
  <c r="J10" i="43" s="1"/>
  <c r="J26" i="43" s="1"/>
  <c r="J11" i="42"/>
  <c r="J26" i="42" s="1"/>
  <c r="J11" i="41"/>
  <c r="J26" i="41" s="1"/>
  <c r="J11" i="40"/>
  <c r="J26" i="40" s="1"/>
  <c r="J10" i="39"/>
  <c r="J26" i="39" s="1"/>
  <c r="M12" i="38"/>
  <c r="J12" i="38"/>
  <c r="M11" i="38"/>
  <c r="J11" i="38"/>
  <c r="L10" i="38"/>
  <c r="J10" i="38"/>
  <c r="J16" i="37"/>
  <c r="J15" i="37"/>
  <c r="J14" i="37"/>
  <c r="J13" i="37"/>
  <c r="J12" i="37"/>
  <c r="J11" i="37"/>
  <c r="J10" i="37"/>
  <c r="L10" i="43" l="1"/>
  <c r="N10" i="43" s="1"/>
  <c r="J26" i="37"/>
  <c r="J26" i="46"/>
  <c r="J26" i="38"/>
  <c r="M37" i="36"/>
  <c r="B10" i="36"/>
  <c r="J10" i="36"/>
  <c r="J26" i="36" l="1"/>
  <c r="J10" i="34" l="1"/>
  <c r="J26" i="34" s="1"/>
  <c r="J10" i="33"/>
  <c r="J26" i="33" s="1"/>
  <c r="J12" i="32" l="1"/>
  <c r="J11" i="32"/>
  <c r="J10" i="32"/>
  <c r="J26" i="32" s="1"/>
  <c r="J10" i="31" l="1"/>
  <c r="J26" i="31" s="1"/>
  <c r="J10" i="29"/>
  <c r="J11" i="29" s="1"/>
  <c r="N17" i="14"/>
  <c r="F10" i="30" l="1"/>
  <c r="J10" i="30" s="1"/>
  <c r="J26" i="30" s="1"/>
  <c r="O20" i="30"/>
  <c r="J26" i="29" l="1"/>
  <c r="M16" i="22"/>
  <c r="M18" i="22" s="1"/>
  <c r="M17" i="22"/>
  <c r="M15" i="22"/>
  <c r="J10" i="28" l="1"/>
  <c r="J26" i="28" s="1"/>
  <c r="J10" i="26"/>
  <c r="J26" i="26" s="1"/>
  <c r="J10" i="25"/>
  <c r="J26" i="25" s="1"/>
  <c r="J26" i="24" l="1"/>
  <c r="F21" i="22" l="1"/>
  <c r="J21" i="22" s="1"/>
  <c r="J17" i="22"/>
  <c r="J16" i="22"/>
  <c r="J15" i="22"/>
  <c r="J13" i="22"/>
  <c r="J14" i="22"/>
  <c r="J11" i="22"/>
  <c r="J21" i="23"/>
  <c r="J18" i="23"/>
  <c r="J17" i="23"/>
  <c r="J13" i="23"/>
  <c r="J14" i="23"/>
  <c r="J12" i="23"/>
  <c r="J11" i="23"/>
  <c r="J10" i="23"/>
  <c r="N14" i="9"/>
  <c r="M15" i="9"/>
  <c r="M14" i="9"/>
  <c r="L11" i="8"/>
  <c r="L10" i="8"/>
  <c r="J26" i="23" l="1"/>
  <c r="J12" i="22"/>
  <c r="J10" i="22"/>
  <c r="J14" i="21"/>
  <c r="J10" i="21"/>
  <c r="J26" i="21" s="1"/>
  <c r="P4" i="21"/>
  <c r="P5" i="21" s="1"/>
  <c r="N1" i="21"/>
  <c r="O1" i="21" s="1"/>
  <c r="J26" i="18"/>
  <c r="J26" i="22" l="1"/>
  <c r="B11" i="17"/>
  <c r="J11" i="17" s="1"/>
  <c r="B10" i="17"/>
  <c r="J10" i="17" s="1"/>
  <c r="D47" i="16"/>
  <c r="J10" i="16"/>
  <c r="J26" i="16" s="1"/>
  <c r="P4" i="16"/>
  <c r="P5" i="16" s="1"/>
  <c r="N1" i="16"/>
  <c r="O1" i="16" s="1"/>
  <c r="O20" i="15"/>
  <c r="N5" i="14"/>
  <c r="N6" i="14" s="1"/>
  <c r="N4" i="14"/>
  <c r="J10" i="15"/>
  <c r="J26" i="15" s="1"/>
  <c r="O43" i="14"/>
  <c r="J10" i="14"/>
  <c r="J26" i="14" s="1"/>
  <c r="J10" i="13"/>
  <c r="J26" i="13" s="1"/>
  <c r="J26" i="17" l="1"/>
  <c r="J11" i="11"/>
  <c r="J11" i="12"/>
  <c r="J26" i="12" s="1"/>
  <c r="J11" i="10"/>
  <c r="J26" i="10" s="1"/>
  <c r="J26" i="11" l="1"/>
  <c r="P4" i="9"/>
  <c r="P5" i="9" s="1"/>
  <c r="N1" i="9" l="1"/>
  <c r="O1" i="9" s="1"/>
  <c r="J20" i="9"/>
  <c r="J19" i="9"/>
  <c r="J14" i="9"/>
  <c r="D47" i="9"/>
  <c r="J11" i="9"/>
  <c r="J10" i="9"/>
  <c r="J23" i="8"/>
  <c r="J22" i="8"/>
  <c r="J11" i="8"/>
  <c r="J12" i="8"/>
  <c r="J13" i="8"/>
  <c r="J14" i="8"/>
  <c r="J15" i="8"/>
  <c r="J16" i="8"/>
  <c r="J17" i="8"/>
  <c r="J18" i="8"/>
  <c r="J10" i="8"/>
  <c r="M10" i="8" l="1"/>
  <c r="M11" i="8"/>
  <c r="J26" i="9"/>
  <c r="D47" i="8" l="1"/>
  <c r="J11" i="7"/>
  <c r="J12" i="7"/>
  <c r="J13" i="7"/>
  <c r="D47" i="7"/>
  <c r="J10" i="7"/>
  <c r="J26" i="5"/>
  <c r="L26" i="5" s="1"/>
  <c r="J14" i="4"/>
  <c r="J13" i="4"/>
  <c r="J12" i="4"/>
  <c r="J11" i="4"/>
  <c r="J10" i="4"/>
  <c r="J26" i="4" l="1"/>
  <c r="J26" i="8"/>
  <c r="J26" i="7"/>
  <c r="D47" i="3"/>
  <c r="J10" i="3"/>
  <c r="J26" i="3" s="1"/>
  <c r="J16" i="2" l="1"/>
  <c r="J11" i="2"/>
  <c r="J12" i="2"/>
  <c r="J13" i="2"/>
  <c r="J14" i="2"/>
  <c r="J15" i="2"/>
  <c r="J10" i="2"/>
  <c r="J26" i="2" s="1"/>
  <c r="E49" i="2"/>
  <c r="E52" i="2" s="1"/>
  <c r="D45" i="2"/>
  <c r="E49" i="1"/>
  <c r="F52" i="1" s="1"/>
  <c r="D45" i="1"/>
  <c r="J10" i="1"/>
  <c r="E50" i="2" l="1"/>
  <c r="F52" i="2"/>
  <c r="J12" i="1"/>
  <c r="J26" i="1" s="1"/>
  <c r="E50" i="1"/>
  <c r="E52" i="1"/>
  <c r="K12" i="1" l="1"/>
</calcChain>
</file>

<file path=xl/sharedStrings.xml><?xml version="1.0" encoding="utf-8"?>
<sst xmlns="http://schemas.openxmlformats.org/spreadsheetml/2006/main" count="4084" uniqueCount="404">
  <si>
    <t>Unit D 3rd Floor, One Felicity Building, Commonwealth Ave., Q.C.                                                                                       Telefax:  (02) 931-4046/ (02) 426-8261</t>
  </si>
  <si>
    <t>REQUISITION SLIP</t>
  </si>
  <si>
    <t>Payee:</t>
  </si>
  <si>
    <t>Folcon Construction Supply 0995-001-2190/0981-062-9954</t>
  </si>
  <si>
    <t>R.S. #</t>
  </si>
  <si>
    <t>Particulars:</t>
  </si>
  <si>
    <t>Subcon for Stoneworks - Labor</t>
  </si>
  <si>
    <t xml:space="preserve">Date   Requested:          </t>
  </si>
  <si>
    <t>Project:</t>
  </si>
  <si>
    <t>23LG0049 BANAYBANAY SLOPE PROTECTION, DAVAO 2ND ENGINEERING DISTRICT</t>
  </si>
  <si>
    <t xml:space="preserve">Date Needed:                     </t>
  </si>
  <si>
    <t>QTY</t>
  </si>
  <si>
    <t>UNIT</t>
  </si>
  <si>
    <t>DESCRIPTION</t>
  </si>
  <si>
    <t>UNIT COST</t>
  </si>
  <si>
    <t>AMOUNT</t>
  </si>
  <si>
    <t>cu.m</t>
  </si>
  <si>
    <t>Stone Masonry</t>
  </si>
  <si>
    <t>NOTE:</t>
  </si>
  <si>
    <t>PHP</t>
  </si>
  <si>
    <t xml:space="preserve">Requested By:                                         </t>
  </si>
  <si>
    <t xml:space="preserve">Prepared By:                                            </t>
  </si>
  <si>
    <t>Checked By:</t>
  </si>
  <si>
    <t xml:space="preserve">_______________________               </t>
  </si>
  <si>
    <t>_____________________</t>
  </si>
  <si>
    <t xml:space="preserve">   Engr. Reymar Reguyal</t>
  </si>
  <si>
    <t>Winamarie Busano</t>
  </si>
  <si>
    <t>Engr. Joann Nogra</t>
  </si>
  <si>
    <t xml:space="preserve">Recommending Approval:                  </t>
  </si>
  <si>
    <t>Approved By:</t>
  </si>
  <si>
    <t xml:space="preserve">____________________                        </t>
  </si>
  <si>
    <t>Engr. Dennis Hernandez</t>
  </si>
  <si>
    <t>ALBERTO ELMER L. GARDIOLA</t>
  </si>
  <si>
    <t xml:space="preserve">     92.32m. X 3.15 (effective area per linear meter)</t>
  </si>
  <si>
    <t xml:space="preserve">           = 290.81</t>
  </si>
  <si>
    <t>2023 DAVAO ROCK NETTING PROJECTS, DAVAO 2ND ENGINEERING DISTRICT</t>
  </si>
  <si>
    <t>ALLIED MATERIALS TESTING LABORATORIES</t>
  </si>
  <si>
    <t>Pull Out Test 23LG0097</t>
  </si>
  <si>
    <t>Pull Out Test 23LG0071</t>
  </si>
  <si>
    <t>Pull Out Test 23LG0072</t>
  </si>
  <si>
    <t>Pull Out Test 23LG0073</t>
  </si>
  <si>
    <t>Pull Out Test 23LG0077</t>
  </si>
  <si>
    <t>Pull Out Test 23LG0084</t>
  </si>
  <si>
    <t>Mobilization</t>
  </si>
  <si>
    <t>Payment for Confirmatory Pullout Test</t>
  </si>
  <si>
    <t>Container Used for Grouting</t>
  </si>
  <si>
    <t>23LG0071, 0072, 0073, 0077, 0084 GOVERNOR GENEROSO ROCK NETTING PROJECTS, DAVAO 2ND ENGINEERING DISTRICT</t>
  </si>
  <si>
    <t>pc/s</t>
  </si>
  <si>
    <t xml:space="preserve">Empty Container 20ltrs </t>
  </si>
  <si>
    <t>CHERRY JANE IGOY</t>
  </si>
  <si>
    <t>ID</t>
  </si>
  <si>
    <t xml:space="preserve">Processing Second Billing Vouchers </t>
  </si>
  <si>
    <t>Processing Second Billing Vouchers (23LG0071)</t>
  </si>
  <si>
    <t>Processing Second Billing Vouchers (23LG0072)</t>
  </si>
  <si>
    <t>Processing Second Billing Vouchers (23LG0073)</t>
  </si>
  <si>
    <t>Processing Second Billing Vouchers (23LG0077)</t>
  </si>
  <si>
    <t>Mondilla Junk Shop (no Contact Details)</t>
  </si>
  <si>
    <t>DAVAO CITY WATER DISTRICT</t>
  </si>
  <si>
    <t>PO#: HOF26147</t>
  </si>
  <si>
    <t>MD-DVO23</t>
  </si>
  <si>
    <t>DVO2023</t>
  </si>
  <si>
    <t>Maintenance Charges</t>
  </si>
  <si>
    <t>Acct Name: SIA MICHELLE TINA</t>
  </si>
  <si>
    <t>Acct No. : 04-219547-1</t>
  </si>
  <si>
    <t xml:space="preserve">      Winamarie Busano</t>
  </si>
  <si>
    <t>January 2024 Water Bill at Davao City Staff House</t>
  </si>
  <si>
    <t>2023 DAVAO ROCK NETTING PROJECTS</t>
  </si>
  <si>
    <t>Water Bill for the Month of January 2024</t>
  </si>
  <si>
    <t>23LG0072, 0073, 0077, 0084 GOVERNOR GENEROSO ROCK NETTING PROJECTS, DAVAO 2ND ENGINEERING DISTRICT</t>
  </si>
  <si>
    <t>Empty Container 20ltrs (23LG0044)</t>
  </si>
  <si>
    <t>Empty Container 20ltrs (23LG0049)</t>
  </si>
  <si>
    <t>Empty Container 20ltrs (23LG0053)</t>
  </si>
  <si>
    <t>Empty Container 20ltrs (23LG0054)</t>
  </si>
  <si>
    <t>23LG0044, 0049, 0053, 0059 BANAYBANAY ROCK NETTING PROJECTS, DAVAO 2ND ENGINEERING DISTRICT</t>
  </si>
  <si>
    <t>Partial Request for Streetlight Pedestal</t>
  </si>
  <si>
    <t>23LG0044, 0049, 0053, 0054, 0097 BANAYBANAY ROCK NETTING PROJECTS, DAVAO 2ND ENGINEERING DISTRICT</t>
  </si>
  <si>
    <t>AEVANZ MARKETING 0912-513-2245</t>
  </si>
  <si>
    <t>12mm dia. Steel Bar</t>
  </si>
  <si>
    <t>kg/s</t>
  </si>
  <si>
    <t>1 1/2" Common Nail</t>
  </si>
  <si>
    <t>3" Common Nail</t>
  </si>
  <si>
    <t>Phenolic</t>
  </si>
  <si>
    <t>Hammer</t>
  </si>
  <si>
    <t>Handsaw</t>
  </si>
  <si>
    <t>Steelsaw</t>
  </si>
  <si>
    <t>Steelsaw Blade</t>
  </si>
  <si>
    <t>Tie Wire No.16</t>
  </si>
  <si>
    <t>Washed Sand</t>
  </si>
  <si>
    <t>Round Aggregates 3/4</t>
  </si>
  <si>
    <t>CYKENT HARDWARE 0997-198-3294</t>
  </si>
  <si>
    <t>2x2x12 Coco Lumber</t>
  </si>
  <si>
    <t>2x6x12 Coco Lumber</t>
  </si>
  <si>
    <t>Richie Alupe (no contact details)</t>
  </si>
  <si>
    <t>bg/s</t>
  </si>
  <si>
    <t>Cement</t>
  </si>
  <si>
    <t>3J GOLDEN DRAGON INDUSTRIAL MACHINERY CORP.</t>
  </si>
  <si>
    <t xml:space="preserve">Contact Details: JHON  0906-800-6308 </t>
  </si>
  <si>
    <t>unit/s</t>
  </si>
  <si>
    <t>Makita Cut Off Machine 14" (Japan)</t>
  </si>
  <si>
    <t>Tyrolit Cut Off Wheel 14"</t>
  </si>
  <si>
    <t>CRISFER SALVANA</t>
  </si>
  <si>
    <t>Rental of Vacant Lot for the Location of Site Facilities</t>
  </si>
  <si>
    <t>Purok 1, Montserrat, Governor Generoso</t>
  </si>
  <si>
    <t>FB Account: PB Ping</t>
  </si>
  <si>
    <t>no CP Signal on Area</t>
  </si>
  <si>
    <t>JULIE G. PARCON</t>
  </si>
  <si>
    <t>Rental for Staff House at Banay Banay</t>
  </si>
  <si>
    <t>23LG0044, 0049, 0053, 0054, 0097 BANAYBANAY ROCK NETTING PROJECTS DAVAO 2ND ENGINEERING DISTRICT</t>
  </si>
  <si>
    <t>Payment for Staff House Rental at Banaybanay</t>
  </si>
  <si>
    <t>Address: Puntalinao, Banaybanay, Davao Oriental</t>
  </si>
  <si>
    <t>Banay Banay, Davao Oriental 2nd Engineering District.</t>
  </si>
  <si>
    <t>KATHERINE T. SIA</t>
  </si>
  <si>
    <t>Davao City-Office/Staff House Rental</t>
  </si>
  <si>
    <t>Payment for Staff House Rental</t>
  </si>
  <si>
    <t xml:space="preserve">     Winamarie Busano</t>
  </si>
  <si>
    <t xml:space="preserve"> Period Covered January 15, 2024 - February 14, 2024</t>
  </si>
  <si>
    <t xml:space="preserve"> Period Covered January 22, 2024 - February 21, 2024</t>
  </si>
  <si>
    <t>Vacant Lot Rental for Site facilities at Governor Generoso</t>
  </si>
  <si>
    <t>Processing Second Billing Vouchers (23LG0084)</t>
  </si>
  <si>
    <t>DAVAO ORIENTAL ELECTRIC COOPERATIVE, INC.</t>
  </si>
  <si>
    <t>Name: Buladaco, Pedro</t>
  </si>
  <si>
    <t>Acct No.: 03-086-0052000</t>
  </si>
  <si>
    <t>Meter No.: 1052-21-1</t>
  </si>
  <si>
    <t xml:space="preserve"> Staffhouse Electric Bill December 2023</t>
  </si>
  <si>
    <t>GOVERNOR GENEROSO ROCK NETTING PROJECTS, DAVAO 2ND ENGINEERING DISTRICT</t>
  </si>
  <si>
    <t>Gov-Gen</t>
  </si>
  <si>
    <t>ID 23LG0072</t>
  </si>
  <si>
    <t>Gud am pa-request Electric&amp;Water connection for Site Facilities magkasama na for Gov Gen</t>
  </si>
  <si>
    <t>P600</t>
  </si>
  <si>
    <t>Purok 1, Montserrat, Gov. Generoso</t>
  </si>
  <si>
    <t xml:space="preserve">Note: Any excess in P600 for electric&amp;water bill will be shouldered by Newington </t>
  </si>
  <si>
    <t>(No CP signal in the area, FB Acct. PB Ping)</t>
  </si>
  <si>
    <t>Anabel Bayno</t>
  </si>
  <si>
    <t xml:space="preserve">Crisfer Salvana </t>
  </si>
  <si>
    <t>thanks</t>
  </si>
  <si>
    <t>Deducted 500 for owners average consumption.</t>
  </si>
  <si>
    <t xml:space="preserve">    Winamarie Busano</t>
  </si>
  <si>
    <t xml:space="preserve">Site Facilities December 2023 Water Bill GovGen </t>
  </si>
  <si>
    <t>Tapping for Water December 2023</t>
  </si>
  <si>
    <t>Tapping for Electricity December 2023</t>
  </si>
  <si>
    <t xml:space="preserve">Site Facilities December 2023 Electric Bill GovGen </t>
  </si>
  <si>
    <t>KAPRIOL Bar Cutter 22mm</t>
  </si>
  <si>
    <t>Boulders</t>
  </si>
  <si>
    <t>DAVAO LIGHT</t>
  </si>
  <si>
    <t>Electric Bill - Davao City Staff House</t>
  </si>
  <si>
    <t>Electric Bill for the Month of December 2023</t>
  </si>
  <si>
    <t>Acct Name: SIA, MICHELLE TINA</t>
  </si>
  <si>
    <t>Acct ID: 8180822222-8</t>
  </si>
  <si>
    <t>Meter No. : 250143A1</t>
  </si>
  <si>
    <t>Electric Bill for the Month of January 2024</t>
  </si>
  <si>
    <t>PPE</t>
  </si>
  <si>
    <t>pair/s</t>
  </si>
  <si>
    <t>Rubberized Gloves</t>
  </si>
  <si>
    <t>MAKITA Circular Saw</t>
  </si>
  <si>
    <t>Level Bar</t>
  </si>
  <si>
    <t>Titan Cement</t>
  </si>
  <si>
    <t>JoshAnn Lumber (no Cignal on Area)</t>
  </si>
  <si>
    <t>2x3x12 Coco Lumber</t>
  </si>
  <si>
    <t>Concrete and construction materials for Streetlight Pedestal.</t>
  </si>
  <si>
    <t>Pointed Shovel</t>
  </si>
  <si>
    <t>1/2 Phenolic</t>
  </si>
  <si>
    <t>Request for RSB, formworks and accessories for Streetlight Pedestal.</t>
  </si>
  <si>
    <t>PVC Pipe 2"</t>
  </si>
  <si>
    <t>PVC Pipe Elbow 2"</t>
  </si>
  <si>
    <t>PVC Pipe Encap 2"</t>
  </si>
  <si>
    <t>Materials Request for 175 Streetlight Post</t>
  </si>
  <si>
    <t>Christmas and New Year Vacation Convert to Cash</t>
  </si>
  <si>
    <t>Winamarie Busanao</t>
  </si>
  <si>
    <t>Dominic Castillo (Christmas Vacation</t>
  </si>
  <si>
    <t xml:space="preserve">       and Service Engr. Hernandez Dec. 26-28, 2023)</t>
  </si>
  <si>
    <t>Materials Request for Grouting and Stone Masonry Wall</t>
  </si>
  <si>
    <t>23LG0044, 0049, 0053, 0054 BANAYBANAY ROCK NETTING PROJECTS, DAVAO 2ND ENGINEERING DISTRICT</t>
  </si>
  <si>
    <t>DCLA    (KEY: 0981-671-5026)</t>
  </si>
  <si>
    <t>Z.E. PERSONAL PROTECTIVE EQUIPMENT TRADING</t>
  </si>
  <si>
    <t xml:space="preserve">Site Facilities Electric Bill GovGen </t>
  </si>
  <si>
    <t>Tapping for Electricity January 2024</t>
  </si>
  <si>
    <t>Account No.: 05-147-00000330 (1)</t>
  </si>
  <si>
    <t>Meter No.: 719-15</t>
  </si>
  <si>
    <t>roll/s</t>
  </si>
  <si>
    <t>Caution Tape</t>
  </si>
  <si>
    <t>Streetlight Pedestal - Traffic Management</t>
  </si>
  <si>
    <t>Processing of 10% Retention</t>
  </si>
  <si>
    <t>23LG0044, 0049, 0053 BANAYBANAY ROCK NETTING PROJECTS, DAVAO 2ND ENGINEERING DISTRICT</t>
  </si>
  <si>
    <t>Processing Processing of 10% Retention (23LG0044)</t>
  </si>
  <si>
    <t>Processing Processing of 10% Retention (23LG0049)</t>
  </si>
  <si>
    <t>Processing Processing of 10% Retention (23LG0053)</t>
  </si>
  <si>
    <t>Laminated Sack 12ft</t>
  </si>
  <si>
    <t>Laminated Sack</t>
  </si>
  <si>
    <t>Laminated sack for cover of cement, machines, and manpower heat protection and rainy season cover.</t>
  </si>
  <si>
    <t>10% retention</t>
  </si>
  <si>
    <t xml:space="preserve">Subcon for Stoneworks </t>
  </si>
  <si>
    <t>rm/s</t>
  </si>
  <si>
    <t>Bond Paper A4</t>
  </si>
  <si>
    <t>Envelope Long</t>
  </si>
  <si>
    <t>White Folder</t>
  </si>
  <si>
    <t>Expandable Envelope (long)</t>
  </si>
  <si>
    <t>Filer</t>
  </si>
  <si>
    <t>ECV OFFICE SUPPLIES WAREHOUSE, INC. 0967-316-8724</t>
  </si>
  <si>
    <t>Steel Cabinet (4layers)</t>
  </si>
  <si>
    <t>White Board 4x8</t>
  </si>
  <si>
    <t>Cork Board 2x3</t>
  </si>
  <si>
    <t>Furnitures &amp; Fixtures</t>
  </si>
  <si>
    <t>Bond Paper Legal</t>
  </si>
  <si>
    <t>23LG0049, 0053, 0054 BANAYBANAY ROCK NETTING PROJECTS, DAVAO 2ND ENGINEERING DISTRICT</t>
  </si>
  <si>
    <t xml:space="preserve"> Period Covered February 15 - March 14, 2024</t>
  </si>
  <si>
    <t xml:space="preserve">Banay Banay Staff House Rental </t>
  </si>
  <si>
    <t xml:space="preserve"> Period Covered February 22, - March 21, 2024</t>
  </si>
  <si>
    <t>ENGR. RICHIE JULS BACALSO</t>
  </si>
  <si>
    <t>of Newly Hired Engineer Mr. Richie Juls Bacalso</t>
  </si>
  <si>
    <t>Airline Ticket  from Cebu to Davao Airport</t>
  </si>
  <si>
    <t>February 2024 Water Bill at Davao City Staff House</t>
  </si>
  <si>
    <t>Water Bill for the Month of February 2024</t>
  </si>
  <si>
    <t xml:space="preserve">Materials Request for Grouting </t>
  </si>
  <si>
    <t>YIP YIP HARDWARE</t>
  </si>
  <si>
    <t>Materials Used for Temporary Storage of Solar Light Panels</t>
  </si>
  <si>
    <t>mtr/s</t>
  </si>
  <si>
    <t>Laminated Sack 8ft</t>
  </si>
  <si>
    <t>ARVIN GEMINA (no contact details)</t>
  </si>
  <si>
    <t>7m Round Logs (4in. Dia)</t>
  </si>
  <si>
    <t>Bamboo</t>
  </si>
  <si>
    <t>2x3x10 Coco Lumber</t>
  </si>
  <si>
    <t>Replacement</t>
  </si>
  <si>
    <t>23LG0053, 23LG0072 DAVAO ROCK NETTING PROJECTS, DAVAO 2ND ENGINEERING DISTRICT</t>
  </si>
  <si>
    <t>Erosion Mat (23LG0053)</t>
  </si>
  <si>
    <t>Erosion Mat (23LG0072)</t>
  </si>
  <si>
    <t>Replacement for the damaged erosion mat caused bu soil erosion due to continuous heavy rain.</t>
  </si>
  <si>
    <t>Electric Bill for the Month of February 2024</t>
  </si>
  <si>
    <t>Packaging Tape (Clear)</t>
  </si>
  <si>
    <t>Signpen (red)</t>
  </si>
  <si>
    <t>Office Supplies</t>
  </si>
  <si>
    <t xml:space="preserve">   Engr. Dennis Hernandez</t>
  </si>
  <si>
    <t>DDIS</t>
  </si>
  <si>
    <t>Cable Clamp 5/8 (23LG0044)</t>
  </si>
  <si>
    <t>Cable Clamp 5/8 (23LG0049)</t>
  </si>
  <si>
    <t>Cable Clamp 5/8 (23LG0053)</t>
  </si>
  <si>
    <t>Cable Clamp 5/8 (23LG0054)</t>
  </si>
  <si>
    <t>Cable Clamp 5/8 (23LG0097)</t>
  </si>
  <si>
    <t>Cable Clamp 5/8 (23LG0071)</t>
  </si>
  <si>
    <t>Cable Clamp 5/8 (23LG0072)</t>
  </si>
  <si>
    <t>Cable Clamp 5/8 (23LG0073)</t>
  </si>
  <si>
    <t>Cable Clamp 5/8 (23LG0077)</t>
  </si>
  <si>
    <t>Cable Clamp 5/8 (23LG0084)</t>
  </si>
  <si>
    <t>Cable Clamp - Spare</t>
  </si>
  <si>
    <t>For Installation of Perimeter Cable</t>
  </si>
  <si>
    <t>AMANCIO CAPINAN</t>
  </si>
  <si>
    <t>Medical Expense</t>
  </si>
  <si>
    <t>Please see attached Incident Report for reference.</t>
  </si>
  <si>
    <t>23LG0097 DAVAO ROCK NETTING PROJECTS, DAVAO 2ND ENGINEERING DISTRICT</t>
  </si>
  <si>
    <t>Medicines</t>
  </si>
  <si>
    <t>X-ray and Hospital Services</t>
  </si>
  <si>
    <t>Tetanus Toxoid</t>
  </si>
  <si>
    <t xml:space="preserve"> Staffhouse Electric Bill January 2024</t>
  </si>
  <si>
    <t>Engr. Richie Juls Bacalso</t>
  </si>
  <si>
    <t>SUPERVALUE INC.</t>
  </si>
  <si>
    <t>For Newly Hired Engineer and Warehouseman/Safety Officer</t>
  </si>
  <si>
    <t>Bed Foam (B1T1)</t>
  </si>
  <si>
    <t>Stand Fan</t>
  </si>
  <si>
    <t>pck/s</t>
  </si>
  <si>
    <t>Pillow (B1T1)</t>
  </si>
  <si>
    <t>Carl Bernard Evardone Gasulla (Warehouseman)</t>
  </si>
  <si>
    <t>CITI STAR SHOPPING CENTER, INC.</t>
  </si>
  <si>
    <t>For Temporary Barracks</t>
  </si>
  <si>
    <t>can/s</t>
  </si>
  <si>
    <t>Vulcaseal 1ltr</t>
  </si>
  <si>
    <t>CWN #2</t>
  </si>
  <si>
    <t>CWN #3</t>
  </si>
  <si>
    <t>CWN #4</t>
  </si>
  <si>
    <t>Umbrella Nails</t>
  </si>
  <si>
    <t>Temporary barracks to accommodate fifteen (15) import workers from Carrascal, Surigao del Sur.</t>
  </si>
  <si>
    <t xml:space="preserve"> Staffhouse Electric Bill February 2024</t>
  </si>
  <si>
    <t>13th Month Pay of Active Employees</t>
  </si>
  <si>
    <t>Sabido, Sarino</t>
  </si>
  <si>
    <t>Toledan, Jhongil</t>
  </si>
  <si>
    <t xml:space="preserve"> Period Covered March 15 - April 14, 2024</t>
  </si>
  <si>
    <t xml:space="preserve"> Period Covered March 22, - April 21, 2024</t>
  </si>
  <si>
    <t>March 2024 Water Bill at Davao City Staff House</t>
  </si>
  <si>
    <t>Water Bill for the Month of March 2024</t>
  </si>
  <si>
    <t>Electric Bill for the Month of March 2024</t>
  </si>
  <si>
    <t>GovGen Site Facilities Water Bill January &amp; February 2024</t>
  </si>
  <si>
    <t>Tapping for Water January 2024</t>
  </si>
  <si>
    <t>Tapping for Water February 2024</t>
  </si>
  <si>
    <t xml:space="preserve">   Winamarie Busano</t>
  </si>
  <si>
    <t>Tapping for Electricity February 2024</t>
  </si>
  <si>
    <t>Mary's Woods c/o Vivian Areglado 0906-7991-361</t>
  </si>
  <si>
    <t>Gud am pa-request Electric&amp;Water for Barracks magkasama na dito sa Banaybanay ID23LG0053&amp;54</t>
  </si>
  <si>
    <t>P350</t>
  </si>
  <si>
    <t>Water Bill for the Month of December 2023</t>
  </si>
  <si>
    <t>Water Bill for Employees Barracks</t>
  </si>
  <si>
    <t>Vacant Lot Rental for Site facilities at Banaybanay</t>
  </si>
  <si>
    <t>The amount of rent is covered from the beginning of 2023 Rock Netting Project until its completion.</t>
  </si>
  <si>
    <t>Rental of Vacant Lot for Site Facilities</t>
  </si>
  <si>
    <t>Address: Bgy. Puntalinao, Banaybanay, Davao Oriental</t>
  </si>
  <si>
    <t>LITAS TAKASAN  (no contact details)</t>
  </si>
  <si>
    <t>Tapping for Water March 2024</t>
  </si>
  <si>
    <t>GovGen Site Facilities Water Bill March 2024</t>
  </si>
  <si>
    <t>Tapping for Electricity March 2024</t>
  </si>
  <si>
    <t>bx/s</t>
  </si>
  <si>
    <t>Staple Wire No. 35</t>
  </si>
  <si>
    <t>Correction Tape</t>
  </si>
  <si>
    <t>Paper Clip (Jumbo)</t>
  </si>
  <si>
    <t>Ballpen</t>
  </si>
  <si>
    <t>btl/s</t>
  </si>
  <si>
    <t>Brother Ink (BT D60 - BK)</t>
  </si>
  <si>
    <t>File Organizer (3layer)</t>
  </si>
  <si>
    <t>Site Facilities Electric Bill GovGen March 2024</t>
  </si>
  <si>
    <t>given to cotabato</t>
  </si>
  <si>
    <t>April 2024 Water Bill at Davao City Staff House</t>
  </si>
  <si>
    <t>Water Bill for the Month of April 2024</t>
  </si>
  <si>
    <t xml:space="preserve"> Banay Staffhouse Electric Bill March 2024</t>
  </si>
  <si>
    <t>PUNTALINAO WATERS'S ASS.</t>
  </si>
  <si>
    <t>March 2024 Water Bill for Employees Barracks - Banay</t>
  </si>
  <si>
    <t xml:space="preserve"> Period Covered April 15 - May 14, 2024</t>
  </si>
  <si>
    <t xml:space="preserve"> Period Covered April 22, - May 21, 2024</t>
  </si>
  <si>
    <t>Additional Rental for the Previous 2months</t>
  </si>
  <si>
    <t>The land owner asked an additional Php 500.00 in rent Because there were more people living there and more barracks were being built.</t>
  </si>
  <si>
    <t>April 2024 Electric Bill - Davao City Staff House</t>
  </si>
  <si>
    <t>Electric Bill for the Month of April 2024</t>
  </si>
  <si>
    <t>Holy Week Vacation Convert to Cash</t>
  </si>
  <si>
    <t>Dominic Castillo</t>
  </si>
  <si>
    <t>Engr. Renato Arenas</t>
  </si>
  <si>
    <t>Plier</t>
  </si>
  <si>
    <t>Additional materials for making formworks of Streetlight Pedestal.</t>
  </si>
  <si>
    <t>Additional Materials for Streetlight Pedestal Formworks</t>
  </si>
  <si>
    <t>ZE PERSONAL PROTECTIVE EQUIPMENT TRADING 09816715026</t>
  </si>
  <si>
    <t>William Macaraeg</t>
  </si>
  <si>
    <t>Processing of March Billing Vouchers</t>
  </si>
  <si>
    <t>Processing of Fifth Payment (23LG0053)</t>
  </si>
  <si>
    <t>Processing of Sixth Partial Payment (23LG0054)</t>
  </si>
  <si>
    <t>Processing of Second Partial Payment (23LG0097)</t>
  </si>
  <si>
    <t>Processing of Third Partial Payment (23LG0072)</t>
  </si>
  <si>
    <t>Processing of Third Partial Payment (23LG0073)</t>
  </si>
  <si>
    <t>Processing of Third Partial Payment (23LG0077)</t>
  </si>
  <si>
    <t>Processing of Third Partial Payment (23LG0084)</t>
  </si>
  <si>
    <t>23LG0053, 0054, 0097, 0072, 0073, 0077, 0084 DAVAO ROCK NETTING PROJECTS, DAVAO 2ND ENGINEERING DISTRICT</t>
  </si>
  <si>
    <t>Request for CPES and QAU Inspection</t>
  </si>
  <si>
    <t>ØØ</t>
  </si>
  <si>
    <t xml:space="preserve"> Engr. Dennis Hernandez</t>
  </si>
  <si>
    <t xml:space="preserve">CPES and QAU Inspection (ID 23LG0044) </t>
  </si>
  <si>
    <t xml:space="preserve">CPES and QAU Inspection (ID 23LG0073) </t>
  </si>
  <si>
    <t>Schedule April 22, 2024</t>
  </si>
  <si>
    <t>23LG0053 DAVAO ROCK NETTING PROJECTS, DAVAO 2ND ENGINEERING DISTRICT</t>
  </si>
  <si>
    <t xml:space="preserve">1ST DEO </t>
  </si>
  <si>
    <t xml:space="preserve">22LF0111 HGG BUILDERS DAVAO ORIENTAL </t>
  </si>
  <si>
    <t>QAU/CPES/RSAT JOINT INSPECTION</t>
  </si>
  <si>
    <t>Subcon for Line Canal - Labor</t>
  </si>
  <si>
    <t xml:space="preserve">     170m. X 0.93 (effective area per linear meter)</t>
  </si>
  <si>
    <t>23LG0053 BANAYBANAY SLOPE PROTECTION, DAVAO 2ND ENGINEERING DISTRICT</t>
  </si>
  <si>
    <t>23LG0097 BANAYBANAY SLOPE PROTECTION, DAVAO 2ND ENGINEERING DISTRICT</t>
  </si>
  <si>
    <t>Subcon for Catch Wall - Labor</t>
  </si>
  <si>
    <t xml:space="preserve">     85.0m. X 3.15 (effective area per linear meter)</t>
  </si>
  <si>
    <t xml:space="preserve">Line Canal </t>
  </si>
  <si>
    <t xml:space="preserve">Catch Wall </t>
  </si>
  <si>
    <t>23LG0097 BANAYBANAY STONE MASONRY, DAVAO 2ND ENGINEERING DISTRICT</t>
  </si>
  <si>
    <t xml:space="preserve">Course Sand </t>
  </si>
  <si>
    <t>bags</t>
  </si>
  <si>
    <t xml:space="preserve">Cement use for Stoneworks </t>
  </si>
  <si>
    <t xml:space="preserve">Materials for Stoneworks </t>
  </si>
  <si>
    <t>Erosion Mats</t>
  </si>
  <si>
    <t>23LG0053, 0084 DAVAO ROCK NETTING PROJECTS, DAVAO 2ND ENGINEERING DISTRICT</t>
  </si>
  <si>
    <t>Erosion Mat - Green (23LG0053)</t>
  </si>
  <si>
    <t>Erosion Mat - Green (23LG0084)</t>
  </si>
  <si>
    <t>Materials Used for Line Canal</t>
  </si>
  <si>
    <t>23LG0053 DAVAO 2ND ENGINEERING DISTRICT</t>
  </si>
  <si>
    <t xml:space="preserve"> Period Covered May 15 - June 14, 2024</t>
  </si>
  <si>
    <t xml:space="preserve"> Period Covered May 22, - June 21, 2024</t>
  </si>
  <si>
    <t>Estimated 1month Consumption</t>
  </si>
  <si>
    <t>23LG0053, 0097 BANAYBANAY ROCK NETTING PROJECTS, DAVAO 2ND ENGINEERING DISTRICT</t>
  </si>
  <si>
    <t>23LG0071, 0073, 0084 GOVERNOR GENEROSO ROCK NETTING PROJECTS, DAVAO 2ND ENGINEERING DISTRICT</t>
  </si>
  <si>
    <t>Additional Request for Streetlight Pedestal</t>
  </si>
  <si>
    <t>Spray Paint for Markings</t>
  </si>
  <si>
    <t>Spray Paint</t>
  </si>
  <si>
    <t>23LG0084 GOVERNOR GENEROSO ROCK NETTING PROJECTS, DAVAO 2ND ENGINEERING DISTRICT</t>
  </si>
  <si>
    <t>under na to ng PCF</t>
  </si>
  <si>
    <t>final receipt</t>
  </si>
  <si>
    <t>May 2024 Electric Bill - Davao City Staff House</t>
  </si>
  <si>
    <t>Electric Bill for the Month of May 2024</t>
  </si>
  <si>
    <t>May 2024 Water Bill at Davao City Staff House</t>
  </si>
  <si>
    <t>23LG0053, 23LG0097 BANAYBANAY ROCK NETTING PROJECTS, DAVAO 2ND ENGINEERING DISTRICT</t>
  </si>
  <si>
    <t>23LG0073, 0084 GOVERNOR GENEROSO ROCK NETTING PROJECTS, DAVAO 2ND ENGINEERING DISTRICT</t>
  </si>
  <si>
    <t>Tapping for Water April 2024</t>
  </si>
  <si>
    <t>Tapping for Water May 2024</t>
  </si>
  <si>
    <t>GovGen Site Facilities Water Bill April &amp; May 2024</t>
  </si>
  <si>
    <t>March 2024 Penalty</t>
  </si>
  <si>
    <t>GovGen Site Facilities Electric Bill April &amp; May 2024</t>
  </si>
  <si>
    <t xml:space="preserve"> Banay Staffhouse Electric Bill April 2024</t>
  </si>
  <si>
    <t>Tapping for Electricity April 2024</t>
  </si>
  <si>
    <t>Tapping for Electricity May 2024</t>
  </si>
  <si>
    <t>Repair Concrete Pavement</t>
  </si>
  <si>
    <t>23LG0054 BANAYBANAY ROCK NETTING PROJECTS, DAVAO 2ND ENGINEERING DISTRICT</t>
  </si>
  <si>
    <t>Materials Used for Plastering</t>
  </si>
  <si>
    <t>Fine Sand</t>
  </si>
  <si>
    <t>23LG0097 DAVAO 2ND ENGINEERING DISTRICT</t>
  </si>
  <si>
    <t>Materials Used for Stone Masonry</t>
  </si>
  <si>
    <t>JAY MENDOZA</t>
  </si>
  <si>
    <t>euroclav</t>
  </si>
  <si>
    <t>clinda</t>
  </si>
  <si>
    <t>cele</t>
  </si>
  <si>
    <t>Wound Suturing &amp; Med Cert.</t>
  </si>
  <si>
    <t>ACE HARDWARE - SM LANANG DAVAO</t>
  </si>
  <si>
    <t>set/s</t>
  </si>
  <si>
    <t>Pioneer Pro Concrete Epoxy (H.V)</t>
  </si>
  <si>
    <t>23LG0073 DAVAO ROCK NETTING PROJECTS, DAVAO 2ND ENGINEERING DISTRICT</t>
  </si>
  <si>
    <t xml:space="preserve"> Period Covered June 15 - July 14, 2024</t>
  </si>
  <si>
    <t xml:space="preserve"> Period Covered June 22, - July 21, 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</si>
</sst>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_(* #,##0.00_);_(* \(#,##0.00\);_(* &quot;-&quot;??_);_(@_)"/>
    <numFmt numFmtId="165" formatCode="[$-409]d\-mmm\-yy;@"/>
    <numFmt numFmtId="166" formatCode="[$-409]dd\-mmm\-yy;@"/>
    <numFmt numFmtId="167" formatCode="#,##0.00;[Red]#,##0.00"/>
    <numFmt numFmtId="168" formatCode="_(* #,##0.000000_);_(* \(#,##0.000000\);_(* &quot;-&quot;??_);_(@_)"/>
    <numFmt numFmtId="169" formatCode="&quot;DVO24-&quot;000"/>
  </numFmts>
  <fonts count="38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0"/>
      <color theme="1"/>
      <name val="Arial"/>
      <family val="2"/>
    </font>
    <font>
      <b/>
      <sz val="18"/>
      <color theme="1"/>
      <name val="Arial"/>
      <family val="2"/>
    </font>
    <font>
      <b/>
      <sz val="16"/>
      <color theme="1"/>
      <name val="Arial"/>
      <family val="2"/>
    </font>
    <font>
      <sz val="9"/>
      <color theme="1"/>
      <name val="Arial"/>
      <family val="2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u/>
      <sz val="11"/>
      <color theme="10"/>
      <name val="Calibri"/>
      <family val="2"/>
    </font>
    <font>
      <sz val="11"/>
      <color theme="10"/>
      <name val="Arial"/>
      <family val="2"/>
    </font>
    <font>
      <b/>
      <sz val="9"/>
      <color theme="1"/>
      <name val="Arial"/>
      <family val="2"/>
    </font>
    <font>
      <b/>
      <sz val="14"/>
      <color theme="1"/>
      <name val="Arial"/>
      <family val="2"/>
    </font>
    <font>
      <b/>
      <sz val="11"/>
      <color theme="1"/>
      <name val="Arial"/>
      <family val="2"/>
    </font>
    <font>
      <sz val="10"/>
      <name val="Arial"/>
      <family val="2"/>
    </font>
    <font>
      <b/>
      <i/>
      <sz val="10"/>
      <color theme="1"/>
      <name val="Arial"/>
      <family val="2"/>
    </font>
    <font>
      <b/>
      <sz val="12"/>
      <color theme="1"/>
      <name val="Calibri"/>
      <family val="2"/>
      <scheme val="minor"/>
    </font>
    <font>
      <sz val="12"/>
      <color theme="1"/>
      <name val="Arial Narrow"/>
      <family val="2"/>
    </font>
    <font>
      <i/>
      <sz val="10"/>
      <name val="Arial"/>
      <family val="2"/>
    </font>
    <font>
      <sz val="10"/>
      <name val="Calibri  "/>
    </font>
    <font>
      <b/>
      <sz val="10"/>
      <name val="Calibri  "/>
    </font>
    <font>
      <sz val="12"/>
      <color theme="1"/>
      <name val="Arial"/>
      <family val="2"/>
    </font>
    <font>
      <b/>
      <i/>
      <sz val="10"/>
      <name val="Calibri  "/>
    </font>
    <font>
      <b/>
      <sz val="11"/>
      <name val="Arial"/>
      <family val="2"/>
    </font>
    <font>
      <b/>
      <sz val="12"/>
      <color theme="1"/>
      <name val="Arial"/>
      <family val="2"/>
    </font>
    <font>
      <sz val="11"/>
      <color theme="0"/>
      <name val="Arial"/>
      <family val="2"/>
    </font>
    <font>
      <b/>
      <i/>
      <sz val="11"/>
      <color theme="1"/>
      <name val="Arial"/>
      <family val="2"/>
    </font>
    <font>
      <b/>
      <i/>
      <sz val="8"/>
      <color theme="1"/>
      <name val="Arial"/>
      <family val="2"/>
    </font>
    <font>
      <u val="singleAccounting"/>
      <sz val="10"/>
      <color theme="1"/>
      <name val="Arial"/>
      <family val="2"/>
    </font>
    <font>
      <sz val="8"/>
      <name val="Calibri"/>
      <family val="2"/>
      <scheme val="minor"/>
    </font>
    <font>
      <sz val="12"/>
      <color theme="1"/>
      <name val="Calibri  "/>
    </font>
    <font>
      <i/>
      <sz val="12"/>
      <color theme="1"/>
      <name val="Calibri  "/>
    </font>
    <font>
      <b/>
      <sz val="12"/>
      <color theme="1"/>
      <name val="Calibri  "/>
    </font>
    <font>
      <sz val="12"/>
      <color theme="1"/>
      <name val="Calibri"/>
      <family val="2"/>
    </font>
    <font>
      <b/>
      <sz val="10"/>
      <name val="Arial"/>
      <family val="2"/>
    </font>
    <font>
      <b/>
      <i/>
      <sz val="10"/>
      <name val="Arial"/>
      <family val="2"/>
    </font>
    <font>
      <b/>
      <sz val="12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32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</borders>
  <cellStyleXfs count="4">
    <xf numFmtId="0" fontId="0" fillId="0" borderId="0"/>
    <xf numFmtId="164" fontId="1" fillId="0" borderId="0" applyFont="0" applyFill="0" applyBorder="0" applyAlignment="0" applyProtection="0"/>
    <xf numFmtId="0" fontId="9" fillId="0" borderId="0" applyNumberFormat="0" applyFill="0" applyBorder="0" applyAlignment="0" applyProtection="0">
      <alignment vertical="top"/>
      <protection locked="0"/>
    </xf>
    <xf numFmtId="164" fontId="1" fillId="0" borderId="0" applyFont="0" applyFill="0" applyBorder="0" applyAlignment="0" applyProtection="0"/>
  </cellStyleXfs>
  <cellXfs count="184">
    <xf numFmtId="0" fontId="0" fillId="0" borderId="0" xfId="0"/>
    <xf numFmtId="0" fontId="2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2" fillId="0" borderId="0" xfId="0" applyFont="1" applyAlignment="1">
      <alignment vertical="center"/>
    </xf>
    <xf numFmtId="164" fontId="2" fillId="0" borderId="0" xfId="1" applyFont="1" applyAlignment="1">
      <alignment vertical="center"/>
    </xf>
    <xf numFmtId="0" fontId="2" fillId="0" borderId="0" xfId="0" applyFont="1"/>
    <xf numFmtId="0" fontId="6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164" fontId="2" fillId="0" borderId="0" xfId="1" applyFont="1"/>
    <xf numFmtId="0" fontId="2" fillId="0" borderId="4" xfId="0" applyFont="1" applyBorder="1" applyAlignment="1">
      <alignment horizontal="left" vertical="center" indent="1"/>
    </xf>
    <xf numFmtId="0" fontId="7" fillId="0" borderId="5" xfId="0" applyFont="1" applyBorder="1" applyAlignment="1">
      <alignment horizontal="left" vertical="center" indent="1"/>
    </xf>
    <xf numFmtId="0" fontId="2" fillId="0" borderId="6" xfId="0" applyFont="1" applyBorder="1" applyAlignment="1">
      <alignment horizontal="left" vertical="center" indent="1"/>
    </xf>
    <xf numFmtId="0" fontId="2" fillId="0" borderId="7" xfId="0" applyFont="1" applyBorder="1" applyAlignment="1">
      <alignment horizontal="left" vertical="center" indent="1"/>
    </xf>
    <xf numFmtId="0" fontId="8" fillId="0" borderId="5" xfId="0" applyFont="1" applyBorder="1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2" fillId="0" borderId="0" xfId="0" applyFont="1" applyAlignment="1">
      <alignment horizontal="left" vertical="center" indent="1"/>
    </xf>
    <xf numFmtId="165" fontId="3" fillId="0" borderId="8" xfId="0" applyNumberFormat="1" applyFont="1" applyBorder="1" applyAlignment="1">
      <alignment horizontal="left" vertical="center" indent="1"/>
    </xf>
    <xf numFmtId="166" fontId="2" fillId="0" borderId="0" xfId="0" applyNumberFormat="1" applyFont="1" applyAlignment="1">
      <alignment vertical="center"/>
    </xf>
    <xf numFmtId="0" fontId="2" fillId="0" borderId="9" xfId="0" applyFont="1" applyBorder="1" applyAlignment="1">
      <alignment horizontal="left" vertical="center"/>
    </xf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vertical="center"/>
    </xf>
    <xf numFmtId="0" fontId="10" fillId="0" borderId="10" xfId="2" applyFont="1" applyBorder="1" applyAlignment="1" applyProtection="1">
      <alignment vertical="center"/>
    </xf>
    <xf numFmtId="15" fontId="2" fillId="0" borderId="1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0" fillId="0" borderId="0" xfId="2" applyFont="1" applyAlignment="1" applyProtection="1">
      <alignment vertical="center"/>
    </xf>
    <xf numFmtId="15" fontId="2" fillId="0" borderId="0" xfId="0" applyNumberFormat="1" applyFont="1" applyAlignment="1">
      <alignment horizontal="left" vertical="center"/>
    </xf>
    <xf numFmtId="0" fontId="11" fillId="2" borderId="0" xfId="0" applyFont="1" applyFill="1" applyAlignment="1">
      <alignment horizontal="center"/>
    </xf>
    <xf numFmtId="0" fontId="12" fillId="2" borderId="0" xfId="0" applyFont="1" applyFill="1" applyAlignment="1">
      <alignment horizontal="center"/>
    </xf>
    <xf numFmtId="0" fontId="13" fillId="0" borderId="0" xfId="0" applyFont="1" applyAlignment="1">
      <alignment horizontal="center" vertical="center"/>
    </xf>
    <xf numFmtId="0" fontId="11" fillId="0" borderId="12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0" fontId="13" fillId="0" borderId="0" xfId="0" applyFont="1" applyAlignment="1">
      <alignment horizontal="left" vertical="center"/>
    </xf>
    <xf numFmtId="164" fontId="13" fillId="0" borderId="0" xfId="1" applyFont="1" applyAlignment="1">
      <alignment horizontal="center" vertical="center"/>
    </xf>
    <xf numFmtId="0" fontId="6" fillId="0" borderId="17" xfId="0" applyFont="1" applyBorder="1" applyAlignment="1">
      <alignment horizontal="center" vertical="center"/>
    </xf>
    <xf numFmtId="0" fontId="2" fillId="0" borderId="18" xfId="0" applyFont="1" applyBorder="1" applyAlignment="1">
      <alignment horizontal="center" vertical="center"/>
    </xf>
    <xf numFmtId="0" fontId="7" fillId="0" borderId="19" xfId="0" applyFont="1" applyBorder="1" applyAlignment="1">
      <alignment vertical="center"/>
    </xf>
    <xf numFmtId="43" fontId="3" fillId="0" borderId="20" xfId="1" applyNumberFormat="1" applyFont="1" applyBorder="1" applyAlignment="1">
      <alignment horizontal="center" vertical="center"/>
    </xf>
    <xf numFmtId="43" fontId="3" fillId="0" borderId="19" xfId="1" applyNumberFormat="1" applyFont="1" applyBorder="1" applyAlignment="1">
      <alignment horizontal="center" vertical="center"/>
    </xf>
    <xf numFmtId="15" fontId="14" fillId="0" borderId="17" xfId="0" applyNumberFormat="1" applyFont="1" applyBorder="1" applyAlignment="1">
      <alignment horizontal="right" vertical="center"/>
    </xf>
    <xf numFmtId="167" fontId="15" fillId="0" borderId="17" xfId="0" applyNumberFormat="1" applyFont="1" applyBorder="1" applyAlignment="1">
      <alignment vertical="center"/>
    </xf>
    <xf numFmtId="4" fontId="3" fillId="0" borderId="18" xfId="0" applyNumberFormat="1" applyFont="1" applyBorder="1" applyAlignment="1">
      <alignment horizontal="right" vertical="center" indent="1"/>
    </xf>
    <xf numFmtId="0" fontId="7" fillId="0" borderId="20" xfId="0" applyFont="1" applyBorder="1" applyAlignment="1">
      <alignment horizontal="left" vertical="center"/>
    </xf>
    <xf numFmtId="164" fontId="2" fillId="0" borderId="19" xfId="1" applyFont="1" applyBorder="1" applyAlignment="1">
      <alignment horizontal="center" vertical="center"/>
    </xf>
    <xf numFmtId="0" fontId="16" fillId="0" borderId="20" xfId="0" quotePrefix="1" applyFont="1" applyBorder="1" applyAlignment="1">
      <alignment vertical="center"/>
    </xf>
    <xf numFmtId="0" fontId="17" fillId="0" borderId="19" xfId="0" applyFont="1" applyBorder="1" applyAlignment="1">
      <alignment horizontal="left" vertical="center" indent="1"/>
    </xf>
    <xf numFmtId="4" fontId="2" fillId="0" borderId="0" xfId="0" applyNumberFormat="1" applyFont="1" applyAlignment="1">
      <alignment vertical="center"/>
    </xf>
    <xf numFmtId="0" fontId="7" fillId="0" borderId="20" xfId="0" applyFont="1" applyBorder="1" applyAlignment="1">
      <alignment vertical="center"/>
    </xf>
    <xf numFmtId="15" fontId="18" fillId="0" borderId="21" xfId="0" applyNumberFormat="1" applyFont="1" applyBorder="1" applyAlignment="1">
      <alignment horizontal="left" vertical="center" indent="1"/>
    </xf>
    <xf numFmtId="15" fontId="19" fillId="0" borderId="20" xfId="0" applyNumberFormat="1" applyFont="1" applyBorder="1" applyAlignment="1">
      <alignment vertical="center"/>
    </xf>
    <xf numFmtId="15" fontId="20" fillId="0" borderId="19" xfId="0" applyNumberFormat="1" applyFont="1" applyBorder="1" applyAlignment="1">
      <alignment vertical="center"/>
    </xf>
    <xf numFmtId="0" fontId="7" fillId="0" borderId="19" xfId="0" applyFont="1" applyBorder="1" applyAlignment="1">
      <alignment horizontal="left" vertical="center" indent="1"/>
    </xf>
    <xf numFmtId="164" fontId="2" fillId="0" borderId="20" xfId="1" applyFont="1" applyBorder="1" applyAlignment="1">
      <alignment horizontal="center" vertical="center"/>
    </xf>
    <xf numFmtId="168" fontId="2" fillId="0" borderId="0" xfId="0" applyNumberFormat="1" applyFont="1" applyAlignment="1">
      <alignment vertical="center"/>
    </xf>
    <xf numFmtId="164" fontId="3" fillId="0" borderId="20" xfId="1" applyFont="1" applyBorder="1" applyAlignment="1">
      <alignment horizontal="center" vertical="center"/>
    </xf>
    <xf numFmtId="0" fontId="15" fillId="0" borderId="17" xfId="0" applyFont="1" applyBorder="1" applyAlignment="1">
      <alignment horizontal="left" vertical="center"/>
    </xf>
    <xf numFmtId="164" fontId="21" fillId="0" borderId="17" xfId="0" applyNumberFormat="1" applyFont="1" applyBorder="1" applyAlignment="1">
      <alignment horizontal="right" vertical="center" indent="1"/>
    </xf>
    <xf numFmtId="164" fontId="3" fillId="0" borderId="17" xfId="0" applyNumberFormat="1" applyFont="1" applyBorder="1" applyAlignment="1">
      <alignment horizontal="right" vertical="center" indent="1"/>
    </xf>
    <xf numFmtId="15" fontId="22" fillId="0" borderId="22" xfId="0" applyNumberFormat="1" applyFont="1" applyBorder="1" applyAlignment="1">
      <alignment horizontal="left" vertical="center" indent="1"/>
    </xf>
    <xf numFmtId="167" fontId="21" fillId="0" borderId="17" xfId="0" applyNumberFormat="1" applyFont="1" applyBorder="1" applyAlignment="1">
      <alignment vertical="center"/>
    </xf>
    <xf numFmtId="167" fontId="21" fillId="0" borderId="25" xfId="0" applyNumberFormat="1" applyFont="1" applyBorder="1" applyAlignment="1">
      <alignment vertical="center"/>
    </xf>
    <xf numFmtId="164" fontId="25" fillId="0" borderId="0" xfId="0" applyNumberFormat="1" applyFont="1"/>
    <xf numFmtId="0" fontId="26" fillId="0" borderId="0" xfId="0" applyFont="1"/>
    <xf numFmtId="0" fontId="27" fillId="0" borderId="0" xfId="0" applyFont="1"/>
    <xf numFmtId="0" fontId="3" fillId="0" borderId="0" xfId="0" applyFont="1" applyAlignment="1">
      <alignment horizontal="left"/>
    </xf>
    <xf numFmtId="0" fontId="3" fillId="0" borderId="0" xfId="0" applyFont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164" fontId="3" fillId="0" borderId="0" xfId="3" applyFont="1"/>
    <xf numFmtId="164" fontId="2" fillId="0" borderId="0" xfId="1" applyFont="1" applyAlignment="1">
      <alignment horizontal="center"/>
    </xf>
    <xf numFmtId="0" fontId="3" fillId="0" borderId="10" xfId="0" applyFont="1" applyBorder="1"/>
    <xf numFmtId="0" fontId="3" fillId="0" borderId="0" xfId="0" applyFont="1" applyAlignment="1">
      <alignment horizontal="right"/>
    </xf>
    <xf numFmtId="164" fontId="28" fillId="0" borderId="0" xfId="0" applyNumberFormat="1" applyFont="1"/>
    <xf numFmtId="0" fontId="13" fillId="0" borderId="0" xfId="0" applyFont="1" applyAlignment="1">
      <alignment horizontal="right"/>
    </xf>
    <xf numFmtId="164" fontId="2" fillId="0" borderId="0" xfId="0" applyNumberFormat="1" applyFont="1"/>
    <xf numFmtId="169" fontId="2" fillId="0" borderId="5" xfId="0" applyNumberFormat="1" applyFont="1" applyBorder="1" applyAlignment="1">
      <alignment horizontal="left" vertical="center"/>
    </xf>
    <xf numFmtId="164" fontId="2" fillId="0" borderId="0" xfId="1" applyFont="1" applyAlignment="1">
      <alignment horizontal="center" vertical="center"/>
    </xf>
    <xf numFmtId="16" fontId="7" fillId="0" borderId="20" xfId="0" applyNumberFormat="1" applyFont="1" applyBorder="1" applyAlignment="1">
      <alignment vertical="center"/>
    </xf>
    <xf numFmtId="0" fontId="16" fillId="0" borderId="20" xfId="0" applyFont="1" applyBorder="1" applyAlignment="1">
      <alignment vertical="center"/>
    </xf>
    <xf numFmtId="43" fontId="2" fillId="0" borderId="0" xfId="0" applyNumberFormat="1" applyFont="1" applyAlignment="1">
      <alignment vertical="center"/>
    </xf>
    <xf numFmtId="15" fontId="19" fillId="0" borderId="20" xfId="0" applyNumberFormat="1" applyFont="1" applyBorder="1" applyAlignment="1">
      <alignment horizontal="left" vertical="center"/>
    </xf>
    <xf numFmtId="14" fontId="7" fillId="0" borderId="20" xfId="0" applyNumberFormat="1" applyFont="1" applyBorder="1" applyAlignment="1">
      <alignment horizontal="left" vertical="center" indent="1"/>
    </xf>
    <xf numFmtId="164" fontId="2" fillId="0" borderId="20" xfId="1" quotePrefix="1" applyFont="1" applyBorder="1" applyAlignment="1">
      <alignment horizontal="center" vertical="center"/>
    </xf>
    <xf numFmtId="0" fontId="30" fillId="0" borderId="20" xfId="0" applyFont="1" applyBorder="1" applyAlignment="1">
      <alignment horizontal="left" vertical="center" indent="1"/>
    </xf>
    <xf numFmtId="0" fontId="31" fillId="0" borderId="20" xfId="0" applyFont="1" applyBorder="1" applyAlignment="1">
      <alignment horizontal="left" vertical="center" indent="1"/>
    </xf>
    <xf numFmtId="15" fontId="20" fillId="0" borderId="20" xfId="0" applyNumberFormat="1" applyFont="1" applyBorder="1" applyAlignment="1">
      <alignment horizontal="left" vertical="center" indent="1"/>
    </xf>
    <xf numFmtId="15" fontId="14" fillId="0" borderId="19" xfId="0" applyNumberFormat="1" applyFont="1" applyBorder="1" applyAlignment="1">
      <alignment horizontal="center" vertical="center"/>
    </xf>
    <xf numFmtId="2" fontId="2" fillId="0" borderId="0" xfId="0" applyNumberFormat="1" applyFont="1" applyAlignment="1">
      <alignment vertical="center"/>
    </xf>
    <xf numFmtId="0" fontId="7" fillId="0" borderId="19" xfId="0" applyFont="1" applyBorder="1" applyAlignment="1">
      <alignment horizontal="left" vertical="center"/>
    </xf>
    <xf numFmtId="4" fontId="2" fillId="0" borderId="18" xfId="0" applyNumberFormat="1" applyFont="1" applyBorder="1" applyAlignment="1">
      <alignment horizontal="right" vertical="center" indent="1"/>
    </xf>
    <xf numFmtId="164" fontId="2" fillId="0" borderId="17" xfId="0" applyNumberFormat="1" applyFont="1" applyBorder="1" applyAlignment="1">
      <alignment horizontal="right" vertical="center" indent="1"/>
    </xf>
    <xf numFmtId="14" fontId="7" fillId="0" borderId="20" xfId="0" applyNumberFormat="1" applyFont="1" applyBorder="1" applyAlignment="1">
      <alignment vertical="center"/>
    </xf>
    <xf numFmtId="0" fontId="2" fillId="0" borderId="17" xfId="0" applyFont="1" applyBorder="1" applyAlignment="1">
      <alignment horizontal="center" vertical="center"/>
    </xf>
    <xf numFmtId="0" fontId="32" fillId="0" borderId="20" xfId="0" applyFont="1" applyBorder="1" applyAlignment="1">
      <alignment vertical="center"/>
    </xf>
    <xf numFmtId="15" fontId="20" fillId="0" borderId="20" xfId="0" applyNumberFormat="1" applyFont="1" applyBorder="1" applyAlignment="1">
      <alignment vertical="center"/>
    </xf>
    <xf numFmtId="0" fontId="0" fillId="0" borderId="5" xfId="0" applyBorder="1" applyAlignment="1">
      <alignment horizontal="left" vertical="center" indent="1"/>
    </xf>
    <xf numFmtId="4" fontId="2" fillId="0" borderId="0" xfId="0" applyNumberFormat="1" applyFont="1" applyAlignment="1">
      <alignment horizontal="center" vertical="center"/>
    </xf>
    <xf numFmtId="167" fontId="2" fillId="0" borderId="0" xfId="0" applyNumberFormat="1" applyFont="1" applyAlignment="1">
      <alignment vertical="center"/>
    </xf>
    <xf numFmtId="43" fontId="3" fillId="0" borderId="20" xfId="1" applyNumberFormat="1" applyFont="1" applyFill="1" applyBorder="1" applyAlignment="1">
      <alignment horizontal="center" vertical="center"/>
    </xf>
    <xf numFmtId="164" fontId="2" fillId="0" borderId="19" xfId="1" applyFont="1" applyFill="1" applyBorder="1" applyAlignment="1">
      <alignment horizontal="center" vertical="center"/>
    </xf>
    <xf numFmtId="164" fontId="2" fillId="0" borderId="0" xfId="1" applyFont="1" applyFill="1" applyAlignment="1">
      <alignment vertical="center"/>
    </xf>
    <xf numFmtId="164" fontId="2" fillId="0" borderId="0" xfId="0" applyNumberFormat="1" applyFont="1" applyAlignment="1">
      <alignment horizontal="center" vertical="center"/>
    </xf>
    <xf numFmtId="164" fontId="2" fillId="0" borderId="0" xfId="0" applyNumberFormat="1" applyFont="1" applyAlignment="1">
      <alignment vertical="center"/>
    </xf>
    <xf numFmtId="0" fontId="0" fillId="0" borderId="5" xfId="0" applyBorder="1" applyAlignment="1">
      <alignment vertical="center"/>
    </xf>
    <xf numFmtId="164" fontId="5" fillId="0" borderId="0" xfId="1" applyFont="1" applyAlignment="1">
      <alignment vertical="center" wrapText="1"/>
    </xf>
    <xf numFmtId="0" fontId="33" fillId="0" borderId="20" xfId="0" applyFont="1" applyBorder="1" applyAlignment="1">
      <alignment vertical="center"/>
    </xf>
    <xf numFmtId="0" fontId="6" fillId="0" borderId="27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164" fontId="13" fillId="0" borderId="26" xfId="1" applyFont="1" applyBorder="1" applyAlignment="1">
      <alignment horizontal="center" vertical="center" wrapText="1"/>
    </xf>
    <xf numFmtId="167" fontId="13" fillId="0" borderId="26" xfId="0" applyNumberFormat="1" applyFont="1" applyBorder="1" applyAlignment="1">
      <alignment horizontal="center" vertical="center"/>
    </xf>
    <xf numFmtId="167" fontId="13" fillId="0" borderId="26" xfId="0" applyNumberFormat="1" applyFont="1" applyBorder="1" applyAlignment="1">
      <alignment horizontal="right" vertical="center" indent="1"/>
    </xf>
    <xf numFmtId="164" fontId="2" fillId="0" borderId="0" xfId="1" applyFont="1" applyAlignment="1">
      <alignment horizontal="left" vertical="center"/>
    </xf>
    <xf numFmtId="15" fontId="34" fillId="0" borderId="20" xfId="0" applyNumberFormat="1" applyFont="1" applyBorder="1" applyAlignment="1">
      <alignment horizontal="left" vertical="center" indent="1"/>
    </xf>
    <xf numFmtId="0" fontId="7" fillId="0" borderId="20" xfId="0" applyFont="1" applyBorder="1" applyAlignment="1">
      <alignment horizontal="left" vertical="center" indent="1"/>
    </xf>
    <xf numFmtId="15" fontId="35" fillId="0" borderId="22" xfId="0" applyNumberFormat="1" applyFont="1" applyBorder="1" applyAlignment="1">
      <alignment horizontal="left" vertical="center" indent="1"/>
    </xf>
    <xf numFmtId="0" fontId="7" fillId="0" borderId="20" xfId="0" quotePrefix="1" applyFont="1" applyBorder="1" applyAlignment="1">
      <alignment vertical="center"/>
    </xf>
    <xf numFmtId="0" fontId="36" fillId="0" borderId="20" xfId="0" applyFont="1" applyBorder="1" applyAlignment="1">
      <alignment vertical="center"/>
    </xf>
    <xf numFmtId="0" fontId="8" fillId="0" borderId="5" xfId="0" applyFont="1" applyBorder="1" applyAlignment="1">
      <alignment vertical="center"/>
    </xf>
    <xf numFmtId="9" fontId="13" fillId="0" borderId="0" xfId="0" applyNumberFormat="1" applyFont="1" applyAlignment="1">
      <alignment horizontal="center" vertical="center"/>
    </xf>
    <xf numFmtId="168" fontId="2" fillId="0" borderId="0" xfId="0" applyNumberFormat="1" applyFont="1" applyAlignment="1">
      <alignment horizontal="center" vertical="center"/>
    </xf>
    <xf numFmtId="164" fontId="25" fillId="0" borderId="0" xfId="0" applyNumberFormat="1" applyFont="1" applyAlignment="1">
      <alignment horizontal="center"/>
    </xf>
    <xf numFmtId="164" fontId="28" fillId="0" borderId="0" xfId="0" applyNumberFormat="1" applyFont="1" applyAlignment="1">
      <alignment horizontal="center"/>
    </xf>
    <xf numFmtId="0" fontId="13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3" fillId="0" borderId="1" xfId="0" applyFont="1" applyBorder="1" applyAlignment="1">
      <alignment horizontal="center" wrapText="1"/>
    </xf>
    <xf numFmtId="0" fontId="3" fillId="0" borderId="2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16" fillId="0" borderId="5" xfId="0" applyFont="1" applyBorder="1" applyAlignment="1">
      <alignment horizontal="left" vertical="center" indent="1"/>
    </xf>
    <xf numFmtId="0" fontId="7" fillId="0" borderId="5" xfId="0" applyFont="1" applyBorder="1" applyAlignment="1">
      <alignment horizontal="left" vertical="center" wrapText="1"/>
    </xf>
    <xf numFmtId="0" fontId="13" fillId="0" borderId="14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6" fillId="0" borderId="23" xfId="0" applyFont="1" applyBorder="1" applyAlignment="1">
      <alignment horizontal="center" vertical="center"/>
    </xf>
    <xf numFmtId="0" fontId="6" fillId="0" borderId="26" xfId="0" applyFont="1" applyBorder="1" applyAlignment="1">
      <alignment horizontal="center" vertical="center"/>
    </xf>
    <xf numFmtId="0" fontId="23" fillId="0" borderId="23" xfId="0" applyFont="1" applyBorder="1" applyAlignment="1">
      <alignment horizontal="center" vertical="center"/>
    </xf>
    <xf numFmtId="0" fontId="23" fillId="0" borderId="26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2" fillId="0" borderId="24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24" fillId="0" borderId="4" xfId="0" applyFont="1" applyBorder="1" applyAlignment="1">
      <alignment horizontal="center" vertical="center"/>
    </xf>
    <xf numFmtId="0" fontId="24" fillId="0" borderId="24" xfId="0" applyFont="1" applyBorder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11" xfId="0" applyFont="1" applyBorder="1" applyAlignment="1">
      <alignment horizontal="center" vertical="center"/>
    </xf>
    <xf numFmtId="167" fontId="24" fillId="0" borderId="23" xfId="0" applyNumberFormat="1" applyFont="1" applyBorder="1" applyAlignment="1">
      <alignment horizontal="right" vertical="center" indent="1"/>
    </xf>
    <xf numFmtId="167" fontId="24" fillId="0" borderId="26" xfId="0" applyNumberFormat="1" applyFont="1" applyBorder="1" applyAlignment="1">
      <alignment horizontal="right" vertical="center" indent="1"/>
    </xf>
    <xf numFmtId="0" fontId="0" fillId="0" borderId="5" xfId="0" applyBorder="1" applyAlignment="1">
      <alignment horizontal="left" vertical="center" indent="1"/>
    </xf>
    <xf numFmtId="0" fontId="7" fillId="0" borderId="20" xfId="0" applyFont="1" applyBorder="1" applyAlignment="1">
      <alignment horizontal="left" vertical="center"/>
    </xf>
    <xf numFmtId="0" fontId="7" fillId="0" borderId="19" xfId="0" applyFont="1" applyBorder="1" applyAlignment="1">
      <alignment horizontal="left" vertical="center"/>
    </xf>
    <xf numFmtId="0" fontId="2" fillId="0" borderId="0" xfId="0" applyFont="1" applyAlignment="1">
      <alignment horizontal="center" vertical="center" wrapText="1"/>
    </xf>
    <xf numFmtId="0" fontId="7" fillId="0" borderId="5" xfId="0" applyFont="1" applyBorder="1" applyAlignment="1">
      <alignment horizontal="left" vertical="center" indent="1"/>
    </xf>
    <xf numFmtId="0" fontId="3" fillId="0" borderId="0" xfId="0" applyFont="1" applyAlignment="1">
      <alignment horizontal="left"/>
    </xf>
    <xf numFmtId="0" fontId="7" fillId="0" borderId="20" xfId="0" applyFont="1" applyBorder="1" applyAlignment="1">
      <alignment vertical="center"/>
    </xf>
    <xf numFmtId="0" fontId="7" fillId="0" borderId="19" xfId="0" applyFont="1" applyBorder="1" applyAlignment="1">
      <alignment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24" xfId="0" applyFont="1" applyBorder="1" applyAlignment="1">
      <alignment horizontal="center" vertical="center" wrapText="1"/>
    </xf>
    <xf numFmtId="0" fontId="13" fillId="0" borderId="9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37" fillId="0" borderId="5" xfId="0" applyFont="1" applyBorder="1" applyAlignment="1">
      <alignment horizontal="left" vertical="center" indent="1"/>
    </xf>
    <xf numFmtId="15" fontId="20" fillId="0" borderId="20" xfId="0" applyNumberFormat="1" applyFont="1" applyBorder="1" applyAlignment="1">
      <alignment horizontal="center" vertical="center"/>
    </xf>
    <xf numFmtId="15" fontId="20" fillId="0" borderId="19" xfId="0" applyNumberFormat="1" applyFont="1" applyBorder="1" applyAlignment="1">
      <alignment horizontal="center" vertical="center"/>
    </xf>
    <xf numFmtId="16" fontId="7" fillId="0" borderId="20" xfId="0" applyNumberFormat="1" applyFont="1" applyBorder="1" applyAlignment="1">
      <alignment vertical="center"/>
    </xf>
    <xf numFmtId="0" fontId="2" fillId="0" borderId="4" xfId="0" applyFont="1" applyBorder="1" applyAlignment="1">
      <alignment horizontal="center" vertical="center"/>
    </xf>
    <xf numFmtId="0" fontId="2" fillId="0" borderId="24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36" fillId="0" borderId="20" xfId="0" applyFont="1" applyBorder="1" applyAlignment="1">
      <alignment vertical="center"/>
    </xf>
    <xf numFmtId="0" fontId="36" fillId="0" borderId="21" xfId="0" applyFont="1" applyBorder="1" applyAlignment="1">
      <alignment vertical="center"/>
    </xf>
    <xf numFmtId="0" fontId="36" fillId="0" borderId="19" xfId="0" applyFont="1" applyBorder="1" applyAlignment="1">
      <alignment vertical="center"/>
    </xf>
    <xf numFmtId="164" fontId="24" fillId="0" borderId="23" xfId="1" applyFont="1" applyBorder="1" applyAlignment="1">
      <alignment horizontal="right" vertical="center" indent="1"/>
    </xf>
    <xf numFmtId="164" fontId="24" fillId="0" borderId="26" xfId="1" applyFont="1" applyBorder="1" applyAlignment="1">
      <alignment horizontal="right" vertical="center" indent="1"/>
    </xf>
    <xf numFmtId="0" fontId="33" fillId="0" borderId="30" xfId="0" applyFont="1" applyBorder="1" applyAlignment="1">
      <alignment horizontal="center" vertical="center"/>
    </xf>
    <xf numFmtId="0" fontId="33" fillId="0" borderId="31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164" fontId="13" fillId="0" borderId="28" xfId="1" applyFont="1" applyBorder="1" applyAlignment="1">
      <alignment horizontal="center" vertical="center"/>
    </xf>
    <xf numFmtId="164" fontId="13" fillId="0" borderId="29" xfId="1" applyFont="1" applyBorder="1" applyAlignment="1">
      <alignment horizontal="center" vertical="center"/>
    </xf>
    <xf numFmtId="0" fontId="33" fillId="0" borderId="30" xfId="0" applyFont="1" applyBorder="1" applyAlignment="1">
      <alignment horizontal="left" vertical="center"/>
    </xf>
    <xf numFmtId="0" fontId="33" fillId="0" borderId="31" xfId="0" applyFont="1" applyBorder="1" applyAlignment="1">
      <alignment horizontal="left" vertical="center"/>
    </xf>
    <xf numFmtId="0" fontId="16" fillId="0" borderId="5" xfId="0" applyFont="1" applyBorder="1" applyAlignment="1">
      <alignment vertical="center"/>
    </xf>
  </cellXfs>
  <cellStyles count="4">
    <cellStyle name="Comma" xfId="1" builtinId="3"/>
    <cellStyle name="Comma 2" xfId="3" xr:uid="{0A6DF925-53FB-4B68-A0C7-851979A68995}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theme" Target="theme/theme1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styles" Target="styles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externalLink" Target="externalLinks/externalLink1.xml"/><Relationship Id="rId115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externalLink" Target="externalLinks/externalLink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e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10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54.png"/><Relationship Id="rId5" Type="http://schemas.openxmlformats.org/officeDocument/2006/relationships/image" Target="../media/image5.jpeg"/><Relationship Id="rId10" Type="http://schemas.openxmlformats.org/officeDocument/2006/relationships/image" Target="../media/image53.png"/><Relationship Id="rId4" Type="http://schemas.openxmlformats.org/officeDocument/2006/relationships/image" Target="../media/image4.png"/><Relationship Id="rId9" Type="http://schemas.openxmlformats.org/officeDocument/2006/relationships/image" Target="../media/image50.png"/></Relationships>
</file>

<file path=xl/drawings/_rels/drawing10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6.pn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10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image" Target="../media/image3.jpeg"/><Relationship Id="rId7" Type="http://schemas.openxmlformats.org/officeDocument/2006/relationships/image" Target="../media/image1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4.png"/><Relationship Id="rId4" Type="http://schemas.openxmlformats.org/officeDocument/2006/relationships/image" Target="../media/image12.jpeg"/></Relationships>
</file>

<file path=xl/drawings/_rels/drawing10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jpeg"/><Relationship Id="rId3" Type="http://schemas.openxmlformats.org/officeDocument/2006/relationships/image" Target="../media/image3.jpeg"/><Relationship Id="rId7" Type="http://schemas.openxmlformats.org/officeDocument/2006/relationships/image" Target="../media/image1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4.png"/><Relationship Id="rId10" Type="http://schemas.openxmlformats.org/officeDocument/2006/relationships/image" Target="../media/image58.png"/><Relationship Id="rId4" Type="http://schemas.openxmlformats.org/officeDocument/2006/relationships/image" Target="../media/image12.jpeg"/><Relationship Id="rId9" Type="http://schemas.openxmlformats.org/officeDocument/2006/relationships/image" Target="../media/image2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7.jpeg"/><Relationship Id="rId5" Type="http://schemas.openxmlformats.org/officeDocument/2006/relationships/image" Target="../media/image16.jpeg"/><Relationship Id="rId4" Type="http://schemas.openxmlformats.org/officeDocument/2006/relationships/image" Target="../media/image4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3.jpeg"/><Relationship Id="rId7" Type="http://schemas.openxmlformats.org/officeDocument/2006/relationships/image" Target="../media/image1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3.jpeg"/><Relationship Id="rId7" Type="http://schemas.openxmlformats.org/officeDocument/2006/relationships/image" Target="../media/image1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jpeg"/><Relationship Id="rId3" Type="http://schemas.openxmlformats.org/officeDocument/2006/relationships/image" Target="../media/image3.jpeg"/><Relationship Id="rId7" Type="http://schemas.openxmlformats.org/officeDocument/2006/relationships/image" Target="../media/image1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4.png"/><Relationship Id="rId4" Type="http://schemas.openxmlformats.org/officeDocument/2006/relationships/image" Target="../media/image12.jpeg"/><Relationship Id="rId9" Type="http://schemas.openxmlformats.org/officeDocument/2006/relationships/image" Target="../media/image23.pn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jpeg"/><Relationship Id="rId3" Type="http://schemas.openxmlformats.org/officeDocument/2006/relationships/image" Target="../media/image3.jpeg"/><Relationship Id="rId7" Type="http://schemas.openxmlformats.org/officeDocument/2006/relationships/image" Target="../media/image1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4.png"/><Relationship Id="rId4" Type="http://schemas.openxmlformats.org/officeDocument/2006/relationships/image" Target="../media/image12.jpeg"/><Relationship Id="rId9" Type="http://schemas.openxmlformats.org/officeDocument/2006/relationships/image" Target="../media/image23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5.jpeg"/><Relationship Id="rId7" Type="http://schemas.openxmlformats.org/officeDocument/2006/relationships/image" Target="../media/image28.jpeg"/><Relationship Id="rId2" Type="http://schemas.openxmlformats.org/officeDocument/2006/relationships/image" Target="../media/image24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27.jpeg"/><Relationship Id="rId4" Type="http://schemas.openxmlformats.org/officeDocument/2006/relationships/image" Target="../media/image26.jpe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/><Relationship Id="rId7" Type="http://schemas.openxmlformats.org/officeDocument/2006/relationships/image" Target="../media/image28.jpeg"/><Relationship Id="rId2" Type="http://schemas.openxmlformats.org/officeDocument/2006/relationships/image" Target="../media/image24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27.jpeg"/><Relationship Id="rId4" Type="http://schemas.openxmlformats.org/officeDocument/2006/relationships/image" Target="../media/image26.jpe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jpeg"/><Relationship Id="rId3" Type="http://schemas.openxmlformats.org/officeDocument/2006/relationships/image" Target="../media/image9.jpeg"/><Relationship Id="rId7" Type="http://schemas.openxmlformats.org/officeDocument/2006/relationships/image" Target="../media/image1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Relationship Id="rId9" Type="http://schemas.openxmlformats.org/officeDocument/2006/relationships/image" Target="../media/image11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6.jpeg"/><Relationship Id="rId4" Type="http://schemas.openxmlformats.org/officeDocument/2006/relationships/image" Target="../media/image4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6.jpeg"/><Relationship Id="rId4" Type="http://schemas.openxmlformats.org/officeDocument/2006/relationships/image" Target="../media/image4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5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5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jpeg"/><Relationship Id="rId3" Type="http://schemas.openxmlformats.org/officeDocument/2006/relationships/image" Target="../media/image9.jpeg"/><Relationship Id="rId7" Type="http://schemas.openxmlformats.org/officeDocument/2006/relationships/image" Target="../media/image1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11" Type="http://schemas.openxmlformats.org/officeDocument/2006/relationships/image" Target="../media/image34.jpeg"/><Relationship Id="rId5" Type="http://schemas.openxmlformats.org/officeDocument/2006/relationships/image" Target="../media/image6.jpeg"/><Relationship Id="rId10" Type="http://schemas.openxmlformats.org/officeDocument/2006/relationships/image" Target="../media/image33.png"/><Relationship Id="rId4" Type="http://schemas.openxmlformats.org/officeDocument/2006/relationships/image" Target="../media/image4.png"/><Relationship Id="rId9" Type="http://schemas.openxmlformats.org/officeDocument/2006/relationships/image" Target="../media/image11.png"/></Relationships>
</file>

<file path=xl/drawings/_rels/drawing5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Relationship Id="rId9" Type="http://schemas.openxmlformats.org/officeDocument/2006/relationships/image" Target="../media/image3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6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jpeg"/><Relationship Id="rId3" Type="http://schemas.openxmlformats.org/officeDocument/2006/relationships/image" Target="../media/image9.jpeg"/><Relationship Id="rId7" Type="http://schemas.openxmlformats.org/officeDocument/2006/relationships/image" Target="../media/image1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11" Type="http://schemas.openxmlformats.org/officeDocument/2006/relationships/image" Target="../media/image37.png"/><Relationship Id="rId5" Type="http://schemas.openxmlformats.org/officeDocument/2006/relationships/image" Target="../media/image6.jpeg"/><Relationship Id="rId10" Type="http://schemas.openxmlformats.org/officeDocument/2006/relationships/image" Target="../media/image36.png"/><Relationship Id="rId4" Type="http://schemas.openxmlformats.org/officeDocument/2006/relationships/image" Target="../media/image4.png"/><Relationship Id="rId9" Type="http://schemas.openxmlformats.org/officeDocument/2006/relationships/image" Target="../media/image11.png"/></Relationships>
</file>

<file path=xl/drawings/_rels/drawing6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38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7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9" Type="http://schemas.openxmlformats.org/officeDocument/2006/relationships/image" Target="../media/image40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7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e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7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9" Type="http://schemas.openxmlformats.org/officeDocument/2006/relationships/image" Target="../media/image42.png"/></Relationships>
</file>

<file path=xl/drawings/_rels/drawing7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7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4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8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8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8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9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10" Type="http://schemas.openxmlformats.org/officeDocument/2006/relationships/image" Target="../media/image49.png"/><Relationship Id="rId4" Type="http://schemas.openxmlformats.org/officeDocument/2006/relationships/image" Target="../media/image4.png"/><Relationship Id="rId9" Type="http://schemas.openxmlformats.org/officeDocument/2006/relationships/image" Target="../media/image48.png"/></Relationships>
</file>

<file path=xl/drawings/_rels/drawing9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3.jpeg"/><Relationship Id="rId7" Type="http://schemas.openxmlformats.org/officeDocument/2006/relationships/image" Target="../media/image1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9" Type="http://schemas.openxmlformats.org/officeDocument/2006/relationships/image" Target="../media/image48.png"/></Relationships>
</file>

<file path=xl/drawings/_rels/drawing9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38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5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9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9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EE1D1DB-0231-4885-A154-336ADC1A3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665581</xdr:colOff>
      <xdr:row>28</xdr:row>
      <xdr:rowOff>40165</xdr:rowOff>
    </xdr:from>
    <xdr:to>
      <xdr:col>4</xdr:col>
      <xdr:colOff>44727</xdr:colOff>
      <xdr:row>35</xdr:row>
      <xdr:rowOff>118111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3BC3A85-A7F9-40AD-8B42-A7D123A12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7914" y="7490832"/>
          <a:ext cx="2416563" cy="1220946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22C670-7944-4BB9-905B-DE326A10D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1EE40B-4533-451A-A8C5-9FA9860AA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225427</xdr:colOff>
      <xdr:row>31</xdr:row>
      <xdr:rowOff>16932</xdr:rowOff>
    </xdr:from>
    <xdr:to>
      <xdr:col>4</xdr:col>
      <xdr:colOff>1254126</xdr:colOff>
      <xdr:row>35</xdr:row>
      <xdr:rowOff>36377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8D2B6D-8497-4002-BFB2-74A0B0A085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7" y="788034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1473388-88C7-4F11-B2F1-307CF3E072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90E3BBA-E59E-438A-85AC-97743324F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3225" y="8163709"/>
          <a:ext cx="100859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</xdr:row>
      <xdr:rowOff>127000</xdr:rowOff>
    </xdr:from>
    <xdr:to>
      <xdr:col>18</xdr:col>
      <xdr:colOff>425661</xdr:colOff>
      <xdr:row>9</xdr:row>
      <xdr:rowOff>101714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2868C2F-1A1E-4D59-994B-3443E787A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04667" y="1651000"/>
          <a:ext cx="5833744" cy="146696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A6D8168-28F9-40CC-8077-61F1D9C9F2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739664</xdr:colOff>
      <xdr:row>29</xdr:row>
      <xdr:rowOff>40166</xdr:rowOff>
    </xdr:from>
    <xdr:to>
      <xdr:col>4</xdr:col>
      <xdr:colOff>118810</xdr:colOff>
      <xdr:row>35</xdr:row>
      <xdr:rowOff>171028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F57FE0-DE7B-4BDF-AF30-75C615F7E4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1997" y="7543749"/>
          <a:ext cx="2416563" cy="1220946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6A3A8B-9121-49A8-851F-C2D020A3A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9BED42F-3026-46ED-9FB0-1B7138C09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267760</xdr:colOff>
      <xdr:row>31</xdr:row>
      <xdr:rowOff>48682</xdr:rowOff>
    </xdr:from>
    <xdr:to>
      <xdr:col>4</xdr:col>
      <xdr:colOff>1296459</xdr:colOff>
      <xdr:row>35</xdr:row>
      <xdr:rowOff>68127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5F87D9E-5391-4B2A-9263-A1C0CA0309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7510" y="791209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6308255-3997-462E-97F5-2E81E13041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4FBB4D-E2E5-4C20-8FDD-A09FAAF1A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3225" y="8163709"/>
          <a:ext cx="1008592" cy="1429142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D9F239F-B5D1-453D-9EF4-A7DA316A33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701670</xdr:colOff>
      <xdr:row>35</xdr:row>
      <xdr:rowOff>69272</xdr:rowOff>
    </xdr:from>
    <xdr:to>
      <xdr:col>4</xdr:col>
      <xdr:colOff>236169</xdr:colOff>
      <xdr:row>42</xdr:row>
      <xdr:rowOff>67971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05C7F9-D156-4116-9E0B-86185A1B04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4003" y="8662939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EC8A2F-DDB1-451F-8DA2-DD3440991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FB65C10-EAE3-45E5-B30B-57ED9ABB4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4AD02302-DCE6-44DA-B058-BB00FD9FC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289982</xdr:colOff>
      <xdr:row>31</xdr:row>
      <xdr:rowOff>67732</xdr:rowOff>
    </xdr:from>
    <xdr:to>
      <xdr:col>4</xdr:col>
      <xdr:colOff>1357967</xdr:colOff>
      <xdr:row>35</xdr:row>
      <xdr:rowOff>116415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509958A-9367-4880-B783-5431726AC1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9732" y="7931149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B330D88-B291-4334-BE1C-6FED337844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75BA3A0-8034-4821-A288-749C74868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CA2A890-054A-4B0D-829D-1B3B0F6351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731358</xdr:colOff>
      <xdr:row>35</xdr:row>
      <xdr:rowOff>105283</xdr:rowOff>
    </xdr:from>
    <xdr:to>
      <xdr:col>4</xdr:col>
      <xdr:colOff>196744</xdr:colOff>
      <xdr:row>42</xdr:row>
      <xdr:rowOff>69622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E2A887F-8542-4E80-9A44-AAF2B54A6A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3691" y="8698950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BFFB8F-55CF-4CBC-94E3-3D6132D84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E1F148AC-8419-4668-BB22-5BF6E887B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214841</xdr:colOff>
      <xdr:row>31</xdr:row>
      <xdr:rowOff>47625</xdr:rowOff>
    </xdr:from>
    <xdr:to>
      <xdr:col>3</xdr:col>
      <xdr:colOff>605366</xdr:colOff>
      <xdr:row>34</xdr:row>
      <xdr:rowOff>150314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B0BB237-E7AF-4228-B18B-253DCD07F7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61508" y="7911042"/>
          <a:ext cx="898525" cy="653022"/>
        </a:xfrm>
        <a:prstGeom prst="rect">
          <a:avLst/>
        </a:prstGeom>
      </xdr:spPr>
    </xdr:pic>
    <xdr:clientData/>
  </xdr:twoCellAnchor>
  <xdr:twoCellAnchor editAs="oneCell">
    <xdr:from>
      <xdr:col>4</xdr:col>
      <xdr:colOff>330201</xdr:colOff>
      <xdr:row>31</xdr:row>
      <xdr:rowOff>39158</xdr:rowOff>
    </xdr:from>
    <xdr:to>
      <xdr:col>4</xdr:col>
      <xdr:colOff>1225551</xdr:colOff>
      <xdr:row>34</xdr:row>
      <xdr:rowOff>141847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ED9C85-6011-4A55-B191-CB7CE88D5F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9951" y="7902575"/>
          <a:ext cx="895350" cy="653022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21FF8FE-D67D-45D7-A5AC-55721C8CA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686433</xdr:colOff>
      <xdr:row>36</xdr:row>
      <xdr:rowOff>8172</xdr:rowOff>
    </xdr:from>
    <xdr:to>
      <xdr:col>3</xdr:col>
      <xdr:colOff>1700847</xdr:colOff>
      <xdr:row>42</xdr:row>
      <xdr:rowOff>63477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938509-D47F-40A6-AFA8-F6F779CAF6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4533" y="885689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200025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927DEE-6389-4DB4-A4C5-8D08BF504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694186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C5AA6A6-7E8D-4B71-BA8E-8243F1171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31</xdr:row>
      <xdr:rowOff>28575</xdr:rowOff>
    </xdr:from>
    <xdr:to>
      <xdr:col>4</xdr:col>
      <xdr:colOff>1333499</xdr:colOff>
      <xdr:row>35</xdr:row>
      <xdr:rowOff>49078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EE62D9F-C87A-436C-9AF6-CC76847797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1850" y="79629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1038225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1FD3FFC-1D56-41E9-8247-8521C4AB40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28</xdr:row>
      <xdr:rowOff>36768</xdr:rowOff>
    </xdr:from>
    <xdr:to>
      <xdr:col>3</xdr:col>
      <xdr:colOff>630767</xdr:colOff>
      <xdr:row>36</xdr:row>
      <xdr:rowOff>141935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91A700-CC72-4199-B73C-1A4A8B602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75615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0</xdr:row>
      <xdr:rowOff>0</xdr:rowOff>
    </xdr:from>
    <xdr:to>
      <xdr:col>13</xdr:col>
      <xdr:colOff>1171970</xdr:colOff>
      <xdr:row>8</xdr:row>
      <xdr:rowOff>171851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3BF001-E4BC-4E37-981C-92DF7D744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43800" y="0"/>
          <a:ext cx="2829320" cy="2876951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F7C39AB-97F7-484E-AC32-A96907DC46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676911</xdr:colOff>
      <xdr:row>36</xdr:row>
      <xdr:rowOff>27221</xdr:rowOff>
    </xdr:from>
    <xdr:to>
      <xdr:col>3</xdr:col>
      <xdr:colOff>1691325</xdr:colOff>
      <xdr:row>42</xdr:row>
      <xdr:rowOff>82526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227F2D-789B-4365-B894-77D4464CDA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5011" y="88759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171450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3866402-DB33-418C-87A0-F71F51C98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18D5FE-6AD7-4B5D-B6F6-47AC48FB3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31</xdr:row>
      <xdr:rowOff>85725</xdr:rowOff>
    </xdr:from>
    <xdr:to>
      <xdr:col>4</xdr:col>
      <xdr:colOff>1295399</xdr:colOff>
      <xdr:row>35</xdr:row>
      <xdr:rowOff>106228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5E3FDD3-AC59-4DF4-8894-5ABC452079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3750" y="80200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1009650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52EC8F-D7A4-4B0D-BF66-64FC229940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FE5A347-FA8D-43E8-92A2-C31516C3E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9</xdr:col>
      <xdr:colOff>1628775</xdr:colOff>
      <xdr:row>0</xdr:row>
      <xdr:rowOff>0</xdr:rowOff>
    </xdr:from>
    <xdr:to>
      <xdr:col>13</xdr:col>
      <xdr:colOff>543420</xdr:colOff>
      <xdr:row>8</xdr:row>
      <xdr:rowOff>237648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EA01FC-9392-031C-32AC-FA59DB31C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39025" y="0"/>
          <a:ext cx="2334120" cy="2942748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20</xdr:row>
      <xdr:rowOff>28575</xdr:rowOff>
    </xdr:from>
    <xdr:to>
      <xdr:col>14</xdr:col>
      <xdr:colOff>95645</xdr:colOff>
      <xdr:row>34</xdr:row>
      <xdr:rowOff>162326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413266-60BA-2EA5-C41A-03973AA0B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81900" y="5772150"/>
          <a:ext cx="2829320" cy="2876951"/>
        </a:xfrm>
        <a:prstGeom prst="rect">
          <a:avLst/>
        </a:prstGeom>
      </xdr:spPr>
    </xdr:pic>
    <xdr:clientData/>
  </xdr:twoCellAnchor>
  <xdr:twoCellAnchor editAs="oneCell">
    <xdr:from>
      <xdr:col>13</xdr:col>
      <xdr:colOff>847725</xdr:colOff>
      <xdr:row>0</xdr:row>
      <xdr:rowOff>0</xdr:rowOff>
    </xdr:from>
    <xdr:to>
      <xdr:col>15</xdr:col>
      <xdr:colOff>505160</xdr:colOff>
      <xdr:row>13</xdr:row>
      <xdr:rowOff>236233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57BE3F-639D-F129-70CF-2AB8706E0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886950" y="0"/>
          <a:ext cx="1714835" cy="4246258"/>
        </a:xfrm>
        <a:prstGeom prst="rect">
          <a:avLst/>
        </a:prstGeom>
      </xdr:spPr>
    </xdr:pic>
    <xdr:clientData/>
  </xdr:twoCellAnchor>
  <xdr:twoCellAnchor editAs="oneCell">
    <xdr:from>
      <xdr:col>10</xdr:col>
      <xdr:colOff>76199</xdr:colOff>
      <xdr:row>10</xdr:row>
      <xdr:rowOff>241593</xdr:rowOff>
    </xdr:from>
    <xdr:to>
      <xdr:col>14</xdr:col>
      <xdr:colOff>524721</xdr:colOff>
      <xdr:row>19</xdr:row>
      <xdr:rowOff>219638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E76CDB9-D357-44ED-AFFA-E825AA748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524749" y="3508668"/>
          <a:ext cx="3315547" cy="2206895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B5B685E-E354-40FA-9F86-4234626207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762634</xdr:colOff>
      <xdr:row>35</xdr:row>
      <xdr:rowOff>170096</xdr:rowOff>
    </xdr:from>
    <xdr:to>
      <xdr:col>4</xdr:col>
      <xdr:colOff>53023</xdr:colOff>
      <xdr:row>42</xdr:row>
      <xdr:rowOff>44426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517EB7-EB33-4DB1-944B-9193971475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00734" y="88378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DE31B6-244B-4FFE-A058-3EE923781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8AEAA2-42F1-4212-80F5-8B4D8C810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76200</xdr:rowOff>
    </xdr:from>
    <xdr:to>
      <xdr:col>4</xdr:col>
      <xdr:colOff>1266824</xdr:colOff>
      <xdr:row>35</xdr:row>
      <xdr:rowOff>96703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042314-2ED3-4328-BFFD-F88FD685DA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80105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761A141-0A64-4760-BBAA-170F290B00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91D6B91-F9BD-42FB-B153-249AEDBAB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17</xdr:col>
      <xdr:colOff>86404</xdr:colOff>
      <xdr:row>10</xdr:row>
      <xdr:rowOff>47955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7EC8CB-9499-45B3-983A-263C91BCF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96200" y="952500"/>
          <a:ext cx="4867954" cy="2362530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5BCFC6D-B267-47BC-884E-16012B18D1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685799</xdr:colOff>
      <xdr:row>36</xdr:row>
      <xdr:rowOff>57146</xdr:rowOff>
    </xdr:from>
    <xdr:to>
      <xdr:col>3</xdr:col>
      <xdr:colOff>1657349</xdr:colOff>
      <xdr:row>42</xdr:row>
      <xdr:rowOff>90657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E4FA99-106D-4006-B730-53B48CC86D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3899" y="890587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A8ABEDA-EB99-466B-9049-596E4884B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2BB0170-FDDE-4A04-AF7A-7C71B4895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221873</xdr:colOff>
      <xdr:row>31</xdr:row>
      <xdr:rowOff>38100</xdr:rowOff>
    </xdr:from>
    <xdr:to>
      <xdr:col>3</xdr:col>
      <xdr:colOff>662546</xdr:colOff>
      <xdr:row>34</xdr:row>
      <xdr:rowOff>175682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3109ED1-F156-4A6A-8A0D-1C9AD4FB81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60073" y="7972425"/>
          <a:ext cx="945498" cy="690032"/>
        </a:xfrm>
        <a:prstGeom prst="rect">
          <a:avLst/>
        </a:prstGeom>
      </xdr:spPr>
    </xdr:pic>
    <xdr:clientData/>
  </xdr:twoCellAnchor>
  <xdr:twoCellAnchor editAs="oneCell">
    <xdr:from>
      <xdr:col>4</xdr:col>
      <xdr:colOff>241287</xdr:colOff>
      <xdr:row>31</xdr:row>
      <xdr:rowOff>38100</xdr:rowOff>
    </xdr:from>
    <xdr:to>
      <xdr:col>4</xdr:col>
      <xdr:colOff>1291196</xdr:colOff>
      <xdr:row>35</xdr:row>
      <xdr:rowOff>70907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6A1022B-2879-4690-8D54-3D0897F99F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8337" y="7972425"/>
          <a:ext cx="1049909" cy="766232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47625</xdr:colOff>
      <xdr:row>0</xdr:row>
      <xdr:rowOff>76200</xdr:rowOff>
    </xdr:from>
    <xdr:to>
      <xdr:col>14</xdr:col>
      <xdr:colOff>533841</xdr:colOff>
      <xdr:row>17</xdr:row>
      <xdr:rowOff>105477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4843D3-9E58-60A8-570B-C6BCAA576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96175" y="76200"/>
          <a:ext cx="3162741" cy="5029902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EB28A1F-FCAE-4ADF-B75B-6B7E84F5A4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8E1E4D-409A-42D2-8DD3-5CF760340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8BC7A3-3736-4CC8-BC05-0859C2431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</xdr:col>
      <xdr:colOff>732758</xdr:colOff>
      <xdr:row>35</xdr:row>
      <xdr:rowOff>166343</xdr:rowOff>
    </xdr:from>
    <xdr:to>
      <xdr:col>4</xdr:col>
      <xdr:colOff>152696</xdr:colOff>
      <xdr:row>42</xdr:row>
      <xdr:rowOff>107808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B3B64D-176D-4A3F-9BFE-31700AB1B5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5091" y="8760010"/>
          <a:ext cx="2457355" cy="124321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31</xdr:row>
      <xdr:rowOff>5292</xdr:rowOff>
    </xdr:from>
    <xdr:to>
      <xdr:col>4</xdr:col>
      <xdr:colOff>1357871</xdr:colOff>
      <xdr:row>35</xdr:row>
      <xdr:rowOff>126999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C350DDE-9692-47F0-9A6F-B4BB9CC613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0250" y="7868709"/>
          <a:ext cx="1167371" cy="851957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D1111E-C798-4E1E-9F98-0711A4ED58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211667</xdr:colOff>
      <xdr:row>28</xdr:row>
      <xdr:rowOff>38883</xdr:rowOff>
    </xdr:from>
    <xdr:to>
      <xdr:col>3</xdr:col>
      <xdr:colOff>709084</xdr:colOff>
      <xdr:row>36</xdr:row>
      <xdr:rowOff>138759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F493B69-C6B9-4ED1-B19E-6EA65B8A3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8334" y="7489550"/>
          <a:ext cx="1005417" cy="1422792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A6EFA1D-0BE7-44A9-BAFA-83ECE0FB01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591184</xdr:colOff>
      <xdr:row>41</xdr:row>
      <xdr:rowOff>151046</xdr:rowOff>
    </xdr:from>
    <xdr:to>
      <xdr:col>3</xdr:col>
      <xdr:colOff>1605598</xdr:colOff>
      <xdr:row>48</xdr:row>
      <xdr:rowOff>53951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63A638-D750-4A21-81EE-428A26B289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29284" y="99427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942C8D5-5B6F-48B1-8A4F-B2CA8782E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798930-1864-46F7-B3C8-04A0BDD07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43</xdr:row>
      <xdr:rowOff>114300</xdr:rowOff>
    </xdr:from>
    <xdr:to>
      <xdr:col>4</xdr:col>
      <xdr:colOff>1352549</xdr:colOff>
      <xdr:row>47</xdr:row>
      <xdr:rowOff>134803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9F0CF4E-65B1-4A0E-B899-859743D482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0900" y="10267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C3450B-0E78-43AF-802C-33F7DD6C24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A29692A-426F-4B94-BB94-522EC26CB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17</xdr:col>
      <xdr:colOff>86404</xdr:colOff>
      <xdr:row>10</xdr:row>
      <xdr:rowOff>47955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F1FAFFD-035E-67A7-4F65-F32B3C931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96200" y="952500"/>
          <a:ext cx="4867954" cy="2362530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5AD502F-B609-40D5-918D-FDD5066019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595436</xdr:colOff>
      <xdr:row>41</xdr:row>
      <xdr:rowOff>125982</xdr:rowOff>
    </xdr:from>
    <xdr:to>
      <xdr:col>4</xdr:col>
      <xdr:colOff>45855</xdr:colOff>
      <xdr:row>48</xdr:row>
      <xdr:rowOff>120988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AD029A-8156-43FB-97B5-77145E9237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31155" y="9948638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E17C31C-0C55-425E-997C-85371EBEE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685800</xdr:colOff>
      <xdr:row>43</xdr:row>
      <xdr:rowOff>28575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48518A0B-1E81-4961-B971-9E8C548F3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01917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98718C-A4E6-42A3-9C97-65EBE001C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339196</xdr:colOff>
      <xdr:row>42</xdr:row>
      <xdr:rowOff>155046</xdr:rowOff>
    </xdr:from>
    <xdr:to>
      <xdr:col>4</xdr:col>
      <xdr:colOff>1416579</xdr:colOff>
      <xdr:row>47</xdr:row>
      <xdr:rowOff>31990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27E00E1-6BE6-46E3-A341-1DAD45A54F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9102" y="10156296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2</xdr:col>
      <xdr:colOff>59531</xdr:colOff>
      <xdr:row>46</xdr:row>
      <xdr:rowOff>101063</xdr:rowOff>
    </xdr:from>
    <xdr:to>
      <xdr:col>3</xdr:col>
      <xdr:colOff>556948</xdr:colOff>
      <xdr:row>54</xdr:row>
      <xdr:rowOff>87167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F88BCC-3D62-4C62-980B-717A5BD4D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969" y="10828594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10</xdr:col>
      <xdr:colOff>309562</xdr:colOff>
      <xdr:row>0</xdr:row>
      <xdr:rowOff>0</xdr:rowOff>
    </xdr:from>
    <xdr:to>
      <xdr:col>19</xdr:col>
      <xdr:colOff>534351</xdr:colOff>
      <xdr:row>17</xdr:row>
      <xdr:rowOff>93582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B451F1-277F-427C-6CA9-242BD6235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50968" y="0"/>
          <a:ext cx="6820852" cy="5106113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133D61F-3521-4DDF-8693-3C43381DE0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512091</xdr:colOff>
      <xdr:row>35</xdr:row>
      <xdr:rowOff>149791</xdr:rowOff>
    </xdr:from>
    <xdr:to>
      <xdr:col>3</xdr:col>
      <xdr:colOff>1688916</xdr:colOff>
      <xdr:row>42</xdr:row>
      <xdr:rowOff>97173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2235B5-6D3C-4F65-95C6-C16C720B3A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50191" y="8817541"/>
          <a:ext cx="2481750" cy="1261832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8659E5-811A-4A44-93C7-4F7264B2D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685800</xdr:colOff>
      <xdr:row>43</xdr:row>
      <xdr:rowOff>28575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3F9E3344-2E2F-48CC-AAF9-CE2A859F3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01917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66E3146-E50B-42DB-A57D-7F938FEB0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42</xdr:row>
      <xdr:rowOff>19050</xdr:rowOff>
    </xdr:from>
    <xdr:to>
      <xdr:col>4</xdr:col>
      <xdr:colOff>1047751</xdr:colOff>
      <xdr:row>45</xdr:row>
      <xdr:rowOff>122797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EA8C1CC-8212-41D3-9FE2-FAE396171C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19451" y="10001250"/>
          <a:ext cx="895350" cy="656197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31</xdr:row>
      <xdr:rowOff>35984</xdr:rowOff>
    </xdr:from>
    <xdr:to>
      <xdr:col>4</xdr:col>
      <xdr:colOff>1345141</xdr:colOff>
      <xdr:row>35</xdr:row>
      <xdr:rowOff>91521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F3A51B-0D2E-4673-8651-E469FF0A5F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970309"/>
          <a:ext cx="1077383" cy="788962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E5E3B4F-651D-4AD5-8D0F-6016ACC3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A5E90A-50DF-DEBB-21F5-1AD324346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51531" y="0"/>
          <a:ext cx="3801005" cy="4563112"/>
        </a:xfrm>
        <a:prstGeom prst="rect">
          <a:avLst/>
        </a:prstGeom>
      </xdr:spPr>
    </xdr:pic>
    <xdr:clientData/>
  </xdr:twoCellAnchor>
  <xdr:twoCellAnchor editAs="oneCell">
    <xdr:from>
      <xdr:col>11</xdr:col>
      <xdr:colOff>169417</xdr:colOff>
      <xdr:row>0</xdr:row>
      <xdr:rowOff>928689</xdr:rowOff>
    </xdr:from>
    <xdr:to>
      <xdr:col>14</xdr:col>
      <xdr:colOff>598441</xdr:colOff>
      <xdr:row>26</xdr:row>
      <xdr:rowOff>86466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1E5CC0-48E3-BAE2-DF6B-4F6E83131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6805791" y="2710034"/>
          <a:ext cx="6420590" cy="285789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5B731AD-1E6F-4946-AE96-5EAE05C57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629288</xdr:colOff>
      <xdr:row>29</xdr:row>
      <xdr:rowOff>112945</xdr:rowOff>
    </xdr:from>
    <xdr:to>
      <xdr:col>3</xdr:col>
      <xdr:colOff>1643702</xdr:colOff>
      <xdr:row>36</xdr:row>
      <xdr:rowOff>15850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3D2282-CFB6-415F-A8E2-73F8F8C9F2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67388" y="7685320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DB9864-1A5F-4F58-8CB1-6A7A22D72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D39553-6B6C-44B8-837B-39CFE4984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38100</xdr:rowOff>
    </xdr:from>
    <xdr:to>
      <xdr:col>4</xdr:col>
      <xdr:colOff>1257299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B10951-BF07-46FE-B6E7-697EE9FE38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AAB2A3-65F3-4BAF-83D5-F2DA0B949D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5172209-2D3F-49B5-830D-A34FD7F34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EA27000-83B0-4BB2-AD8C-FCD1C8D5A9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634090</xdr:colOff>
      <xdr:row>29</xdr:row>
      <xdr:rowOff>84364</xdr:rowOff>
    </xdr:from>
    <xdr:to>
      <xdr:col>3</xdr:col>
      <xdr:colOff>1605640</xdr:colOff>
      <xdr:row>35</xdr:row>
      <xdr:rowOff>146450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AF147A-5A6F-479A-8C00-F7D23242C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74911" y="7622721"/>
          <a:ext cx="2277836" cy="113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11F7F64-0397-40A1-89B9-BC3C739F3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4B1D91-75D8-459A-8387-CAB6D79C6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68298</xdr:rowOff>
    </xdr:from>
    <xdr:to>
      <xdr:col>4</xdr:col>
      <xdr:colOff>1299481</xdr:colOff>
      <xdr:row>35</xdr:row>
      <xdr:rowOff>70758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01E5C8-0992-4D7D-828E-760135AEFF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0964" y="7960441"/>
          <a:ext cx="1013731" cy="72363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D5EBF1D-78E3-4284-A029-F540103C02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</xdr:row>
      <xdr:rowOff>171450</xdr:rowOff>
    </xdr:from>
    <xdr:to>
      <xdr:col>3</xdr:col>
      <xdr:colOff>600074</xdr:colOff>
      <xdr:row>47</xdr:row>
      <xdr:rowOff>1098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7694967-EA17-425E-B117-77A7C56C83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933450" y="10144125"/>
          <a:ext cx="1009649" cy="74404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DD499C4-C407-4C54-AD09-FFF62FB37E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485774</xdr:colOff>
      <xdr:row>41</xdr:row>
      <xdr:rowOff>47628</xdr:rowOff>
    </xdr:from>
    <xdr:to>
      <xdr:col>3</xdr:col>
      <xdr:colOff>1457324</xdr:colOff>
      <xdr:row>47</xdr:row>
      <xdr:rowOff>109714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FDF534-ACDD-4AB1-9E0E-C5FC552807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23874" y="9839328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448351-70E7-4BD1-A3BB-B8784793B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DF87BF-2194-40AC-B5C2-11F029FDF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43</xdr:row>
      <xdr:rowOff>117284</xdr:rowOff>
    </xdr:from>
    <xdr:to>
      <xdr:col>4</xdr:col>
      <xdr:colOff>1047749</xdr:colOff>
      <xdr:row>47</xdr:row>
      <xdr:rowOff>123825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5A90BE8-45A4-40CE-AA91-CC6CC5B5B6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05150" y="1027093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5DC515-896F-4616-9CFB-6417FB1A5F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42</xdr:row>
      <xdr:rowOff>46293</xdr:rowOff>
    </xdr:from>
    <xdr:to>
      <xdr:col>3</xdr:col>
      <xdr:colOff>773642</xdr:colOff>
      <xdr:row>50</xdr:row>
      <xdr:rowOff>18110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0D7288-85D8-46C8-86DD-8EE22FD9E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425" y="10018968"/>
          <a:ext cx="1002242" cy="142914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D987EC96-149F-48F2-9835-9028D41F11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133346</xdr:colOff>
      <xdr:row>43</xdr:row>
      <xdr:rowOff>114301</xdr:rowOff>
    </xdr:from>
    <xdr:to>
      <xdr:col>4</xdr:col>
      <xdr:colOff>180971</xdr:colOff>
      <xdr:row>49</xdr:row>
      <xdr:rowOff>176387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C3D7FD-FA50-4C3B-939F-EC446F1FD7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971546" y="102679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B32B93-EED4-4E78-89DD-6D273E953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FF47C77-F9C8-4AE0-9177-A616A1576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3317A26-8DFD-4900-A055-089B90349A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542925</xdr:colOff>
      <xdr:row>45</xdr:row>
      <xdr:rowOff>76200</xdr:rowOff>
    </xdr:from>
    <xdr:to>
      <xdr:col>4</xdr:col>
      <xdr:colOff>1571624</xdr:colOff>
      <xdr:row>49</xdr:row>
      <xdr:rowOff>106228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25AE201-5209-4BDD-9D71-FF60EE327C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09975" y="106013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6BCE3C-8CAD-4038-876F-78C12504CA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B74EF8-7489-4622-8675-2152E5DD7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561974</xdr:colOff>
      <xdr:row>37</xdr:row>
      <xdr:rowOff>76199</xdr:rowOff>
    </xdr:from>
    <xdr:to>
      <xdr:col>13</xdr:col>
      <xdr:colOff>466724</xdr:colOff>
      <xdr:row>44</xdr:row>
      <xdr:rowOff>19049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DAF760F0-87DC-46A8-ACBC-1A644DE2B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8174" y="9105899"/>
          <a:ext cx="1247775" cy="12477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1A43ABD-1D8E-4F12-BF3A-CDF47F644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752474</xdr:colOff>
      <xdr:row>41</xdr:row>
      <xdr:rowOff>164642</xdr:rowOff>
    </xdr:from>
    <xdr:to>
      <xdr:col>3</xdr:col>
      <xdr:colOff>1724024</xdr:colOff>
      <xdr:row>48</xdr:row>
      <xdr:rowOff>48475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FBEB7E-2724-4ED5-8E80-212B469C98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0574" y="9956342"/>
          <a:ext cx="2276475" cy="1160183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3EED5E0-C172-4A29-9BC6-B94AD5951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A81045-9E29-430E-B1F7-2D1C72B77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288548</xdr:colOff>
      <xdr:row>45</xdr:row>
      <xdr:rowOff>159203</xdr:rowOff>
    </xdr:from>
    <xdr:to>
      <xdr:col>3</xdr:col>
      <xdr:colOff>729221</xdr:colOff>
      <xdr:row>49</xdr:row>
      <xdr:rowOff>129417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C2E3D12-6AF2-4F18-9DCF-864D39DB5C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26748" y="10684328"/>
          <a:ext cx="945498" cy="694114"/>
        </a:xfrm>
        <a:prstGeom prst="rect">
          <a:avLst/>
        </a:prstGeom>
      </xdr:spPr>
    </xdr:pic>
    <xdr:clientData/>
  </xdr:twoCellAnchor>
  <xdr:twoCellAnchor editAs="oneCell">
    <xdr:from>
      <xdr:col>4</xdr:col>
      <xdr:colOff>310684</xdr:colOff>
      <xdr:row>45</xdr:row>
      <xdr:rowOff>65314</xdr:rowOff>
    </xdr:from>
    <xdr:to>
      <xdr:col>4</xdr:col>
      <xdr:colOff>1360593</xdr:colOff>
      <xdr:row>49</xdr:row>
      <xdr:rowOff>111728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A9DEEF-6188-4007-A9C8-FF09C7115E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7734" y="10590439"/>
          <a:ext cx="1049909" cy="77031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9979ACA-E561-4608-A144-38494C3ACA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476594</xdr:colOff>
      <xdr:row>43</xdr:row>
      <xdr:rowOff>92977</xdr:rowOff>
    </xdr:from>
    <xdr:to>
      <xdr:col>3</xdr:col>
      <xdr:colOff>1567554</xdr:colOff>
      <xdr:row>50</xdr:row>
      <xdr:rowOff>35448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1373EE-D234-405F-A330-77E56376A5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14694" y="10246627"/>
          <a:ext cx="2395885" cy="1218821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8051538-C700-421B-9E09-4C1A60203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5B18779-CF76-4CD0-BECE-EEB3C4DEA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C36CFCA1-1C73-4352-9670-10B9A2C81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3</xdr:col>
      <xdr:colOff>498021</xdr:colOff>
      <xdr:row>45</xdr:row>
      <xdr:rowOff>59872</xdr:rowOff>
    </xdr:from>
    <xdr:to>
      <xdr:col>3</xdr:col>
      <xdr:colOff>1458395</xdr:colOff>
      <xdr:row>49</xdr:row>
      <xdr:rowOff>44904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0E20F69-EEFB-480D-BB6C-0E8C1EA217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841046" y="10584997"/>
          <a:ext cx="960374" cy="708932"/>
        </a:xfrm>
        <a:prstGeom prst="rect">
          <a:avLst/>
        </a:prstGeom>
      </xdr:spPr>
    </xdr:pic>
    <xdr:clientData/>
  </xdr:twoCellAnchor>
  <xdr:twoCellAnchor editAs="oneCell">
    <xdr:from>
      <xdr:col>12</xdr:col>
      <xdr:colOff>349703</xdr:colOff>
      <xdr:row>36</xdr:row>
      <xdr:rowOff>89807</xdr:rowOff>
    </xdr:from>
    <xdr:to>
      <xdr:col>13</xdr:col>
      <xdr:colOff>673124</xdr:colOff>
      <xdr:row>40</xdr:row>
      <xdr:rowOff>42181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0A4A32-D294-4466-82CE-20C2B3F328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779328" y="8938532"/>
          <a:ext cx="933021" cy="68579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2589794-EB2D-4744-A67E-C3A6DFABD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709454</xdr:colOff>
      <xdr:row>29</xdr:row>
      <xdr:rowOff>66643</xdr:rowOff>
    </xdr:from>
    <xdr:to>
      <xdr:col>4</xdr:col>
      <xdr:colOff>5400</xdr:colOff>
      <xdr:row>35</xdr:row>
      <xdr:rowOff>157667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47847D-84F6-4563-B899-FA85B0EB89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5173" y="7674737"/>
          <a:ext cx="2320133" cy="117449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203200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1493616-C4C5-42C5-A296-DE5BD496D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EC38E9-7341-4D36-8E3A-B6D63997B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40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283104</xdr:colOff>
      <xdr:row>31</xdr:row>
      <xdr:rowOff>32280</xdr:rowOff>
    </xdr:from>
    <xdr:to>
      <xdr:col>4</xdr:col>
      <xdr:colOff>1311803</xdr:colOff>
      <xdr:row>35</xdr:row>
      <xdr:rowOff>52783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E99BFBE-4953-4A6E-9D96-C313659893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3010" y="7997561"/>
          <a:ext cx="1028699" cy="74678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1045633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9B9EB91-00C6-47D0-B591-A04C97BA73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31383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523875</xdr:colOff>
      <xdr:row>31</xdr:row>
      <xdr:rowOff>53437</xdr:rowOff>
    </xdr:from>
    <xdr:to>
      <xdr:col>13</xdr:col>
      <xdr:colOff>9261</xdr:colOff>
      <xdr:row>39</xdr:row>
      <xdr:rowOff>27634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16AFF9-4271-4293-980E-C32771AC9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987762"/>
          <a:ext cx="990336" cy="1431522"/>
        </a:xfrm>
        <a:prstGeom prst="rect">
          <a:avLst/>
        </a:prstGeom>
      </xdr:spPr>
    </xdr:pic>
    <xdr:clientData/>
  </xdr:twoCellAnchor>
  <xdr:twoCellAnchor editAs="oneCell">
    <xdr:from>
      <xdr:col>11</xdr:col>
      <xdr:colOff>250031</xdr:colOff>
      <xdr:row>4</xdr:row>
      <xdr:rowOff>11906</xdr:rowOff>
    </xdr:from>
    <xdr:to>
      <xdr:col>15</xdr:col>
      <xdr:colOff>336267</xdr:colOff>
      <xdr:row>20</xdr:row>
      <xdr:rowOff>60076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D597848-91E8-F6C9-DB69-43F78EDE9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41469" y="1916906"/>
          <a:ext cx="3658111" cy="390579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16DEEC7-4FFD-4B8D-A193-248F3D6428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709454</xdr:colOff>
      <xdr:row>29</xdr:row>
      <xdr:rowOff>66643</xdr:rowOff>
    </xdr:from>
    <xdr:to>
      <xdr:col>4</xdr:col>
      <xdr:colOff>5400</xdr:colOff>
      <xdr:row>35</xdr:row>
      <xdr:rowOff>157667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39F3A-C674-4196-8DF8-0A0186BB69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5173" y="7674737"/>
          <a:ext cx="2320133" cy="117449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203200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80789F5-7B4C-4FBE-9390-C3A0E7F7A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626844-3D53-4E4B-BF63-128D01E71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40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283104</xdr:colOff>
      <xdr:row>31</xdr:row>
      <xdr:rowOff>32280</xdr:rowOff>
    </xdr:from>
    <xdr:to>
      <xdr:col>4</xdr:col>
      <xdr:colOff>1311803</xdr:colOff>
      <xdr:row>35</xdr:row>
      <xdr:rowOff>52783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A6C734E-D032-4D21-A7B2-310DEF1F0D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3010" y="7997561"/>
          <a:ext cx="1028699" cy="74678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1045633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DA59C9-1D52-425F-BDDF-F6A85DE690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31383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523875</xdr:colOff>
      <xdr:row>31</xdr:row>
      <xdr:rowOff>53437</xdr:rowOff>
    </xdr:from>
    <xdr:to>
      <xdr:col>13</xdr:col>
      <xdr:colOff>9261</xdr:colOff>
      <xdr:row>39</xdr:row>
      <xdr:rowOff>27634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57B4D37-DE48-470A-ADAA-07A1C54DE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5313" y="8018718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13</xdr:col>
      <xdr:colOff>802805</xdr:colOff>
      <xdr:row>8</xdr:row>
      <xdr:rowOff>164547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17E79B2-214B-02EE-8FFF-6CBCCDB7D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91438" y="1143000"/>
          <a:ext cx="2314898" cy="172426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EA440E7-C4E4-4E43-9703-4D6A7C634A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200662</xdr:colOff>
      <xdr:row>46</xdr:row>
      <xdr:rowOff>8170</xdr:rowOff>
    </xdr:from>
    <xdr:to>
      <xdr:col>3</xdr:col>
      <xdr:colOff>1215076</xdr:colOff>
      <xdr:row>52</xdr:row>
      <xdr:rowOff>101575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2DFA04-CCC7-4BDA-964A-1F6F35215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238762" y="10714270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77CA266-5B17-4EC8-B195-E42C919F4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C8A703-5F8E-4FF4-9ED7-05D1BF6FE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1476375</xdr:colOff>
      <xdr:row>45</xdr:row>
      <xdr:rowOff>142875</xdr:rowOff>
    </xdr:from>
    <xdr:to>
      <xdr:col>4</xdr:col>
      <xdr:colOff>781049</xdr:colOff>
      <xdr:row>49</xdr:row>
      <xdr:rowOff>172903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9D41BB-7575-4F8E-B43B-739C421439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819400" y="106680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CA20A0-602C-4EC1-9871-7E1DD96B94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3053154-D543-4591-AB1D-A196B7F6C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D23C399-45B3-4BC5-B55C-C6612112EA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695963</xdr:colOff>
      <xdr:row>29</xdr:row>
      <xdr:rowOff>84370</xdr:rowOff>
    </xdr:from>
    <xdr:to>
      <xdr:col>3</xdr:col>
      <xdr:colOff>1710377</xdr:colOff>
      <xdr:row>35</xdr:row>
      <xdr:rowOff>168250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08FC76-969D-4B11-B421-503AAE3D9C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4063" y="7656745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56A224-792B-4F51-AFAE-F480E294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B2168D-599E-4773-B774-B7375E0E9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57150</xdr:rowOff>
    </xdr:from>
    <xdr:to>
      <xdr:col>4</xdr:col>
      <xdr:colOff>1314449</xdr:colOff>
      <xdr:row>35</xdr:row>
      <xdr:rowOff>77653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FDF1BB-E077-4DA2-9985-18B369D08D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79914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9A2508-2611-40F1-8995-76B5D5FD85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F76EC7-0F0F-489C-9F68-B4E4AE2DB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72212</xdr:colOff>
      <xdr:row>0</xdr:row>
      <xdr:rowOff>447675</xdr:rowOff>
    </xdr:from>
    <xdr:to>
      <xdr:col>18</xdr:col>
      <xdr:colOff>514806</xdr:colOff>
      <xdr:row>4</xdr:row>
      <xdr:rowOff>9639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5D88BB1-26B9-9B61-E0E0-44D271ED1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68412" y="447675"/>
          <a:ext cx="5833744" cy="146696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573D8EB-52D7-4D03-974A-41A5C5DC04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467363</xdr:colOff>
      <xdr:row>41</xdr:row>
      <xdr:rowOff>46270</xdr:rowOff>
    </xdr:from>
    <xdr:to>
      <xdr:col>3</xdr:col>
      <xdr:colOff>1481777</xdr:colOff>
      <xdr:row>47</xdr:row>
      <xdr:rowOff>130150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36C134-E0B6-4A98-967D-78B086ECE3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05463" y="9837970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FA4C46-2762-4C64-AA3F-9491FFBE7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7532D8-DB4D-47D9-BCA7-D73F4D306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43</xdr:row>
      <xdr:rowOff>47625</xdr:rowOff>
    </xdr:from>
    <xdr:to>
      <xdr:col>4</xdr:col>
      <xdr:colOff>1133474</xdr:colOff>
      <xdr:row>47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67AB55-05F3-40E7-926E-4C3BE2557B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71825" y="102012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5744A1-54B7-4563-B1AA-E2417A92BA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10359F1-C110-4396-BAB8-E20BE3ECB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46D1DAE-7601-41C4-85F6-50348CB8D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717129</xdr:colOff>
      <xdr:row>29</xdr:row>
      <xdr:rowOff>74847</xdr:rowOff>
    </xdr:from>
    <xdr:to>
      <xdr:col>4</xdr:col>
      <xdr:colOff>3284</xdr:colOff>
      <xdr:row>35</xdr:row>
      <xdr:rowOff>158726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123FC8-04A1-4A27-B4DA-D2F0E9F8F0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59462" y="7578430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334766D-98CC-4547-8F07-1D74609D9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1366CEF-1F6F-4E65-9EA8-6D8900933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246593</xdr:colOff>
      <xdr:row>31</xdr:row>
      <xdr:rowOff>38099</xdr:rowOff>
    </xdr:from>
    <xdr:to>
      <xdr:col>4</xdr:col>
      <xdr:colOff>1275292</xdr:colOff>
      <xdr:row>35</xdr:row>
      <xdr:rowOff>57544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CF9BDD2-551F-4C69-8CC3-0A94E4F255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6343" y="7901516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391488C-DE46-4182-B4C4-3D69C5DF05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BEF3F4E-0F85-45DD-ACFC-F80160812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3225" y="8163709"/>
          <a:ext cx="1008592" cy="142914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57F72F0B-DA7C-472B-AFDB-05A6E5E99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717129</xdr:colOff>
      <xdr:row>29</xdr:row>
      <xdr:rowOff>74847</xdr:rowOff>
    </xdr:from>
    <xdr:to>
      <xdr:col>4</xdr:col>
      <xdr:colOff>3284</xdr:colOff>
      <xdr:row>35</xdr:row>
      <xdr:rowOff>158726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19A8D6-A8F4-4A8E-9DD2-15A451BACD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59462" y="7578430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929DB2-448C-4CC4-9FA2-04F7EE1CF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E269F9E-4F5E-4576-BA50-994ACF555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246593</xdr:colOff>
      <xdr:row>31</xdr:row>
      <xdr:rowOff>38099</xdr:rowOff>
    </xdr:from>
    <xdr:to>
      <xdr:col>4</xdr:col>
      <xdr:colOff>1275292</xdr:colOff>
      <xdr:row>35</xdr:row>
      <xdr:rowOff>57544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8829C1D-E216-4593-90C9-FBC90E8D09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6343" y="7901516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0471031-7CB5-4CD2-ABF7-339458E0C9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66C0006-8BA5-4001-A8E8-68C415CE6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31692" y="8091742"/>
          <a:ext cx="1005417" cy="142279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4445921-2943-4BBB-9ED3-89B1D5F9A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629288</xdr:colOff>
      <xdr:row>29</xdr:row>
      <xdr:rowOff>112945</xdr:rowOff>
    </xdr:from>
    <xdr:to>
      <xdr:col>3</xdr:col>
      <xdr:colOff>1643702</xdr:colOff>
      <xdr:row>36</xdr:row>
      <xdr:rowOff>15850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DDB29B-3A8F-47F6-9979-29EB8E6A48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67388" y="7685320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1256BE-5B3C-4741-8866-B0423D012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22E7CC-5140-49CC-B8CA-7A557EA10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38100</xdr:rowOff>
    </xdr:from>
    <xdr:to>
      <xdr:col>4</xdr:col>
      <xdr:colOff>1257299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A6AB98-E457-4EBE-80F9-933A4839D8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E9DC35-7248-465F-A438-AACE4675AE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C5DEE9-4EA9-43E7-82D1-F82AA310D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6167B4C-825C-40F5-BFD5-F2F54E691B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423355</xdr:colOff>
      <xdr:row>41</xdr:row>
      <xdr:rowOff>114097</xdr:rowOff>
    </xdr:from>
    <xdr:to>
      <xdr:col>3</xdr:col>
      <xdr:colOff>1283326</xdr:colOff>
      <xdr:row>47</xdr:row>
      <xdr:rowOff>123650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B6897C2-2F1F-4E61-8FFE-A7C2141FB8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61455" y="9905797"/>
          <a:ext cx="2164896" cy="1104928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94084A-3E9C-4B20-8AD7-5DBB9654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94DD51-CD71-4447-8D1C-765E6E150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53184</xdr:colOff>
      <xdr:row>43</xdr:row>
      <xdr:rowOff>103188</xdr:rowOff>
    </xdr:from>
    <xdr:to>
      <xdr:col>4</xdr:col>
      <xdr:colOff>1031038</xdr:colOff>
      <xdr:row>47</xdr:row>
      <xdr:rowOff>85725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5A4EF3-717E-4B25-876E-324D1B0A49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20234" y="10256838"/>
          <a:ext cx="977854" cy="715962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DC315F-48AB-4129-AFC8-91A9292175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36CD42-3A05-470D-8285-3E31FB21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68791</xdr:colOff>
      <xdr:row>35</xdr:row>
      <xdr:rowOff>94193</xdr:rowOff>
    </xdr:from>
    <xdr:to>
      <xdr:col>12</xdr:col>
      <xdr:colOff>579966</xdr:colOff>
      <xdr:row>42</xdr:row>
      <xdr:rowOff>43393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F97224DA-6778-43F7-A12E-58E611F38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4991" y="8761943"/>
          <a:ext cx="1244600" cy="125412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A116100-1444-41D0-B315-3CAF004CD8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606420</xdr:colOff>
      <xdr:row>29</xdr:row>
      <xdr:rowOff>26938</xdr:rowOff>
    </xdr:from>
    <xdr:to>
      <xdr:col>4</xdr:col>
      <xdr:colOff>140919</xdr:colOff>
      <xdr:row>36</xdr:row>
      <xdr:rowOff>57387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2D47740-C3A9-4BB9-8BC7-BC7EB8AD29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8753" y="7530521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490BDB-7129-444F-927A-CD7A8D6C5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004D99-7F7C-4215-92EE-6956F25C4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3C6617A0-0DF4-4CB1-B6CC-F00C8711A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279398</xdr:colOff>
      <xdr:row>31</xdr:row>
      <xdr:rowOff>35983</xdr:rowOff>
    </xdr:from>
    <xdr:to>
      <xdr:col>4</xdr:col>
      <xdr:colOff>1347383</xdr:colOff>
      <xdr:row>35</xdr:row>
      <xdr:rowOff>84666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922EBF7-6DDC-4E53-8B6B-83F44F264E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9148" y="7899400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9B95CD1-BEE5-4CD4-97A5-8AE96E71CA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283B21C-1BA8-4327-AD21-D1944EA6E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550334</xdr:colOff>
      <xdr:row>34</xdr:row>
      <xdr:rowOff>169333</xdr:rowOff>
    </xdr:from>
    <xdr:to>
      <xdr:col>13</xdr:col>
      <xdr:colOff>454026</xdr:colOff>
      <xdr:row>41</xdr:row>
      <xdr:rowOff>115358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95D70C46-1E86-4CE9-829D-56170A289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6534" y="8656108"/>
          <a:ext cx="1246717" cy="125095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26F3D7F-D498-4E20-AE23-1FE0D157D5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689024</xdr:colOff>
      <xdr:row>29</xdr:row>
      <xdr:rowOff>62952</xdr:rowOff>
    </xdr:from>
    <xdr:to>
      <xdr:col>4</xdr:col>
      <xdr:colOff>154410</xdr:colOff>
      <xdr:row>36</xdr:row>
      <xdr:rowOff>59041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69DA77-0A1D-416F-B004-183D3F07E1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1357" y="7566535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8E31BB-C5C9-4A8A-837A-A7E54E597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CF5E5C3F-77D8-4086-9B3B-48837F668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288924</xdr:colOff>
      <xdr:row>43</xdr:row>
      <xdr:rowOff>68793</xdr:rowOff>
    </xdr:from>
    <xdr:to>
      <xdr:col>3</xdr:col>
      <xdr:colOff>679449</xdr:colOff>
      <xdr:row>46</xdr:row>
      <xdr:rowOff>171481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ADD0CF0-4008-4C0F-85D5-2EA4058A9B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27124" y="10222443"/>
          <a:ext cx="895350" cy="655138"/>
        </a:xfrm>
        <a:prstGeom prst="rect">
          <a:avLst/>
        </a:prstGeom>
      </xdr:spPr>
    </xdr:pic>
    <xdr:clientData/>
  </xdr:twoCellAnchor>
  <xdr:twoCellAnchor editAs="oneCell">
    <xdr:from>
      <xdr:col>4</xdr:col>
      <xdr:colOff>245534</xdr:colOff>
      <xdr:row>31</xdr:row>
      <xdr:rowOff>60325</xdr:rowOff>
    </xdr:from>
    <xdr:to>
      <xdr:col>4</xdr:col>
      <xdr:colOff>1270000</xdr:colOff>
      <xdr:row>35</xdr:row>
      <xdr:rowOff>77268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4D418DA-A55E-4CA2-8763-DA26591372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5284" y="7923742"/>
          <a:ext cx="1024466" cy="74719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B3ADE82-5F67-49B3-8D2B-7CBB461282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523997</xdr:colOff>
      <xdr:row>29</xdr:row>
      <xdr:rowOff>125980</xdr:rowOff>
    </xdr:from>
    <xdr:to>
      <xdr:col>3</xdr:col>
      <xdr:colOff>1700822</xdr:colOff>
      <xdr:row>36</xdr:row>
      <xdr:rowOff>120987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28FB5D-E913-44E1-B90B-24EC43D591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59716" y="7734074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DF186C-B642-4367-B424-5F150F96D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E30CB4-CB53-415C-9437-73D679BB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232038</xdr:colOff>
      <xdr:row>31</xdr:row>
      <xdr:rowOff>35983</xdr:rowOff>
    </xdr:from>
    <xdr:to>
      <xdr:col>4</xdr:col>
      <xdr:colOff>1363782</xdr:colOff>
      <xdr:row>35</xdr:row>
      <xdr:rowOff>130968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3B342E2-BA78-4BB9-83D4-C233F727DE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1944" y="8001264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11</xdr:col>
      <xdr:colOff>345282</xdr:colOff>
      <xdr:row>32</xdr:row>
      <xdr:rowOff>184406</xdr:rowOff>
    </xdr:from>
    <xdr:to>
      <xdr:col>12</xdr:col>
      <xdr:colOff>604574</xdr:colOff>
      <xdr:row>40</xdr:row>
      <xdr:rowOff>134791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CD33A5A-B048-4372-96A9-EF2FCD925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1" y="8328281"/>
          <a:ext cx="997479" cy="141485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4CE5316-EC76-4F54-9BD0-250A8A76C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702452</xdr:colOff>
      <xdr:row>29</xdr:row>
      <xdr:rowOff>62034</xdr:rowOff>
    </xdr:from>
    <xdr:to>
      <xdr:col>4</xdr:col>
      <xdr:colOff>295128</xdr:colOff>
      <xdr:row>36</xdr:row>
      <xdr:rowOff>57041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CDACAD-562C-47C7-9FAF-D81A4F464B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8171" y="7670128"/>
          <a:ext cx="2616863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465C12-BDE4-4D29-AAC0-B7D178E5B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B6688C-1186-45D0-80CA-D3B03D399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232039</xdr:colOff>
      <xdr:row>31</xdr:row>
      <xdr:rowOff>47890</xdr:rowOff>
    </xdr:from>
    <xdr:to>
      <xdr:col>4</xdr:col>
      <xdr:colOff>1363783</xdr:colOff>
      <xdr:row>35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E2886B-5E8A-4C47-8C22-10D4F41E79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1945" y="8013171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13</xdr:col>
      <xdr:colOff>452438</xdr:colOff>
      <xdr:row>16</xdr:row>
      <xdr:rowOff>41531</xdr:rowOff>
    </xdr:from>
    <xdr:to>
      <xdr:col>14</xdr:col>
      <xdr:colOff>366448</xdr:colOff>
      <xdr:row>21</xdr:row>
      <xdr:rowOff>206229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DCEB58-1900-4127-9300-D0DC144D7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4088" y="4794506"/>
          <a:ext cx="999860" cy="140294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610024</xdr:colOff>
      <xdr:row>6</xdr:row>
      <xdr:rowOff>71438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A0D12A-3F5B-4B93-B3ED-9BA2DB357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48625" y="1143000"/>
          <a:ext cx="3038899" cy="1462088"/>
        </a:xfrm>
        <a:prstGeom prst="rect">
          <a:avLst/>
        </a:prstGeom>
      </xdr:spPr>
    </xdr:pic>
    <xdr:clientData/>
  </xdr:twoCellAnchor>
  <xdr:twoCellAnchor editAs="oneCell">
    <xdr:from>
      <xdr:col>1</xdr:col>
      <xdr:colOff>416439</xdr:colOff>
      <xdr:row>44</xdr:row>
      <xdr:rowOff>133894</xdr:rowOff>
    </xdr:from>
    <xdr:to>
      <xdr:col>4</xdr:col>
      <xdr:colOff>298578</xdr:colOff>
      <xdr:row>51</xdr:row>
      <xdr:rowOff>128901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BC8867E-3A23-4231-9790-02A12A865F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52158" y="10492332"/>
          <a:ext cx="2906326" cy="125706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B0402B2-E9A7-44F2-A691-4D3F23212B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702452</xdr:colOff>
      <xdr:row>29</xdr:row>
      <xdr:rowOff>62034</xdr:rowOff>
    </xdr:from>
    <xdr:to>
      <xdr:col>4</xdr:col>
      <xdr:colOff>295128</xdr:colOff>
      <xdr:row>36</xdr:row>
      <xdr:rowOff>57041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68BAF2-5C0C-441F-B353-FC61F8F09F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8171" y="7670128"/>
          <a:ext cx="2616863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41F1234-FAED-441F-A03A-F2AC6B1DD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5062B4-4C99-40FD-BB07-A14C9C40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220133</xdr:colOff>
      <xdr:row>31</xdr:row>
      <xdr:rowOff>107421</xdr:rowOff>
    </xdr:from>
    <xdr:to>
      <xdr:col>4</xdr:col>
      <xdr:colOff>1351877</xdr:colOff>
      <xdr:row>36</xdr:row>
      <xdr:rowOff>23813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B4861F7-513D-4D88-B531-54B3A9B0B3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80039" y="8072702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13</xdr:col>
      <xdr:colOff>452438</xdr:colOff>
      <xdr:row>16</xdr:row>
      <xdr:rowOff>41531</xdr:rowOff>
    </xdr:from>
    <xdr:to>
      <xdr:col>14</xdr:col>
      <xdr:colOff>366448</xdr:colOff>
      <xdr:row>21</xdr:row>
      <xdr:rowOff>206229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D3824E6-2831-4E48-AA9D-06779C05E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4088" y="4794506"/>
          <a:ext cx="999860" cy="140294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610024</xdr:colOff>
      <xdr:row>6</xdr:row>
      <xdr:rowOff>71438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6B89E3E-6A02-494B-A2D7-D437D414F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48625" y="1143000"/>
          <a:ext cx="3038899" cy="1462088"/>
        </a:xfrm>
        <a:prstGeom prst="rect">
          <a:avLst/>
        </a:prstGeom>
      </xdr:spPr>
    </xdr:pic>
    <xdr:clientData/>
  </xdr:twoCellAnchor>
  <xdr:twoCellAnchor editAs="oneCell">
    <xdr:from>
      <xdr:col>1</xdr:col>
      <xdr:colOff>690283</xdr:colOff>
      <xdr:row>35</xdr:row>
      <xdr:rowOff>157706</xdr:rowOff>
    </xdr:from>
    <xdr:to>
      <xdr:col>4</xdr:col>
      <xdr:colOff>572422</xdr:colOff>
      <xdr:row>42</xdr:row>
      <xdr:rowOff>105088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22FEF7E-279B-40A5-9C4B-CF0F892886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6002" y="8849269"/>
          <a:ext cx="2906326" cy="12570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2189EE0-DE02-46CF-A1B1-3BC14842CE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423355</xdr:colOff>
      <xdr:row>41</xdr:row>
      <xdr:rowOff>114097</xdr:rowOff>
    </xdr:from>
    <xdr:to>
      <xdr:col>3</xdr:col>
      <xdr:colOff>1283326</xdr:colOff>
      <xdr:row>47</xdr:row>
      <xdr:rowOff>123650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0C1113-EBC3-4545-A592-044E610320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61455" y="9905797"/>
          <a:ext cx="2164896" cy="1104928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8C7923-D2C6-4479-B004-D673D8308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EED417-52E9-40BB-B157-907FADBEF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53184</xdr:colOff>
      <xdr:row>43</xdr:row>
      <xdr:rowOff>103188</xdr:rowOff>
    </xdr:from>
    <xdr:to>
      <xdr:col>4</xdr:col>
      <xdr:colOff>1031038</xdr:colOff>
      <xdr:row>47</xdr:row>
      <xdr:rowOff>85725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42D5EFD-4710-4F07-BBF0-B2DB50E999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20234" y="10256838"/>
          <a:ext cx="977854" cy="715962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0E7CCF-3478-40B1-9EC3-85C8FDF7C8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60198DC-57EA-46D7-A1BB-F70D7309C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68791</xdr:colOff>
      <xdr:row>35</xdr:row>
      <xdr:rowOff>94193</xdr:rowOff>
    </xdr:from>
    <xdr:to>
      <xdr:col>12</xdr:col>
      <xdr:colOff>579966</xdr:colOff>
      <xdr:row>42</xdr:row>
      <xdr:rowOff>43393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8D996ED0-2BD7-4650-BE21-04E5DFDE6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4991" y="8761943"/>
          <a:ext cx="1244600" cy="125412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4E5DE23-FFC1-4A5B-8C76-3F381200DD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678522</xdr:colOff>
      <xdr:row>29</xdr:row>
      <xdr:rowOff>70162</xdr:rowOff>
    </xdr:from>
    <xdr:to>
      <xdr:col>4</xdr:col>
      <xdr:colOff>392987</xdr:colOff>
      <xdr:row>36</xdr:row>
      <xdr:rowOff>65169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1AFC2B-FFDC-4E98-90EC-0A1EE9678F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4241" y="7678256"/>
          <a:ext cx="2738652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8BDFA6-4D65-4816-A4C8-362E06DB5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52C0A8-FEDA-4941-8FFA-56C9C287D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220133</xdr:colOff>
      <xdr:row>31</xdr:row>
      <xdr:rowOff>83609</xdr:rowOff>
    </xdr:from>
    <xdr:to>
      <xdr:col>4</xdr:col>
      <xdr:colOff>1351877</xdr:colOff>
      <xdr:row>36</xdr:row>
      <xdr:rowOff>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06F7606-7778-4477-8147-3A9244B616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80039" y="8048890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13</xdr:col>
      <xdr:colOff>452438</xdr:colOff>
      <xdr:row>16</xdr:row>
      <xdr:rowOff>41531</xdr:rowOff>
    </xdr:from>
    <xdr:to>
      <xdr:col>14</xdr:col>
      <xdr:colOff>366448</xdr:colOff>
      <xdr:row>21</xdr:row>
      <xdr:rowOff>206229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69DC63-BCC5-45C9-B5CC-0A633A1FF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34563" y="4804031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610024</xdr:colOff>
      <xdr:row>6</xdr:row>
      <xdr:rowOff>71438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5E4B25-D907-04EA-8BFB-2BE4826A7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36719" y="1143000"/>
          <a:ext cx="3038899" cy="1464469"/>
        </a:xfrm>
        <a:prstGeom prst="rect">
          <a:avLst/>
        </a:prstGeom>
      </xdr:spPr>
    </xdr:pic>
    <xdr:clientData/>
  </xdr:twoCellAnchor>
  <xdr:twoCellAnchor editAs="oneCell">
    <xdr:from>
      <xdr:col>1</xdr:col>
      <xdr:colOff>666446</xdr:colOff>
      <xdr:row>35</xdr:row>
      <xdr:rowOff>145011</xdr:rowOff>
    </xdr:from>
    <xdr:to>
      <xdr:col>4</xdr:col>
      <xdr:colOff>695734</xdr:colOff>
      <xdr:row>42</xdr:row>
      <xdr:rowOff>92393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81441E0-868E-47C0-B5A2-094D06F67A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2165" y="8836574"/>
          <a:ext cx="3053475" cy="12570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3FCAC81-60BF-451F-AD37-AC238A8CFF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654575</xdr:colOff>
      <xdr:row>29</xdr:row>
      <xdr:rowOff>89547</xdr:rowOff>
    </xdr:from>
    <xdr:to>
      <xdr:col>4</xdr:col>
      <xdr:colOff>511639</xdr:colOff>
      <xdr:row>36</xdr:row>
      <xdr:rowOff>84554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734220-1C18-4569-80E8-FBE8089754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2675" y="7661922"/>
          <a:ext cx="2886014" cy="1271357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1372870-D7C3-430D-8ACB-49B97F8B2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685800</xdr:colOff>
      <xdr:row>43</xdr:row>
      <xdr:rowOff>28575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C68787B9-337A-42FD-8897-1CCC9288E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01917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AAC8C3D-F5FB-46BA-B0AC-C6908695D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42</xdr:row>
      <xdr:rowOff>19050</xdr:rowOff>
    </xdr:from>
    <xdr:to>
      <xdr:col>4</xdr:col>
      <xdr:colOff>1047751</xdr:colOff>
      <xdr:row>45</xdr:row>
      <xdr:rowOff>122797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66B5E61-8937-458F-B1C4-AC8CD78C90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19451" y="10001250"/>
          <a:ext cx="895350" cy="656197"/>
        </a:xfrm>
        <a:prstGeom prst="rect">
          <a:avLst/>
        </a:prstGeom>
      </xdr:spPr>
    </xdr:pic>
    <xdr:clientData/>
  </xdr:twoCellAnchor>
  <xdr:twoCellAnchor editAs="oneCell">
    <xdr:from>
      <xdr:col>4</xdr:col>
      <xdr:colOff>196321</xdr:colOff>
      <xdr:row>31</xdr:row>
      <xdr:rowOff>83609</xdr:rowOff>
    </xdr:from>
    <xdr:to>
      <xdr:col>4</xdr:col>
      <xdr:colOff>1273704</xdr:colOff>
      <xdr:row>35</xdr:row>
      <xdr:rowOff>139146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8C2E7AE-34F0-4840-994D-7912454246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63371" y="8017934"/>
          <a:ext cx="1077383" cy="788962"/>
        </a:xfrm>
        <a:prstGeom prst="rect">
          <a:avLst/>
        </a:prstGeom>
      </xdr:spPr>
    </xdr:pic>
    <xdr:clientData/>
  </xdr:twoCellAnchor>
  <xdr:twoCellAnchor editAs="oneCell">
    <xdr:from>
      <xdr:col>11</xdr:col>
      <xdr:colOff>154782</xdr:colOff>
      <xdr:row>30</xdr:row>
      <xdr:rowOff>160593</xdr:rowOff>
    </xdr:from>
    <xdr:to>
      <xdr:col>12</xdr:col>
      <xdr:colOff>414074</xdr:colOff>
      <xdr:row>38</xdr:row>
      <xdr:rowOff>122885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1C34BAC-941F-4BA7-A528-AB48EA4B6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4882" y="7913943"/>
          <a:ext cx="992717" cy="1429142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0DA168-D091-43BC-90A8-D7B5C8353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</xdr:col>
      <xdr:colOff>690563</xdr:colOff>
      <xdr:row>35</xdr:row>
      <xdr:rowOff>119062</xdr:rowOff>
    </xdr:from>
    <xdr:to>
      <xdr:col>4</xdr:col>
      <xdr:colOff>547627</xdr:colOff>
      <xdr:row>42</xdr:row>
      <xdr:rowOff>66444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43ECF83-E82A-4EFE-ABBE-823AB4E0B2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8663" y="8786812"/>
          <a:ext cx="2886014" cy="1261832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9C3C444-0BD3-4845-B9B3-3CB53FD6F5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654575</xdr:colOff>
      <xdr:row>29</xdr:row>
      <xdr:rowOff>89547</xdr:rowOff>
    </xdr:from>
    <xdr:to>
      <xdr:col>4</xdr:col>
      <xdr:colOff>511639</xdr:colOff>
      <xdr:row>36</xdr:row>
      <xdr:rowOff>84554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FC3E2F-C1A4-4BFF-9E21-A517E944F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0294" y="7697641"/>
          <a:ext cx="2881251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8A3321-20DC-44B4-9CCB-E6CD47C4A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685800</xdr:colOff>
      <xdr:row>43</xdr:row>
      <xdr:rowOff>28575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7AD75820-B4E2-4137-A1A5-9389F04DD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01917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5A8FCB-F87C-4295-98C0-B6703B2F9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42</xdr:row>
      <xdr:rowOff>19050</xdr:rowOff>
    </xdr:from>
    <xdr:to>
      <xdr:col>4</xdr:col>
      <xdr:colOff>1047751</xdr:colOff>
      <xdr:row>45</xdr:row>
      <xdr:rowOff>122797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B92A5FE-F969-4B08-8300-7D79AA0638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19451" y="10001250"/>
          <a:ext cx="895350" cy="656197"/>
        </a:xfrm>
        <a:prstGeom prst="rect">
          <a:avLst/>
        </a:prstGeom>
      </xdr:spPr>
    </xdr:pic>
    <xdr:clientData/>
  </xdr:twoCellAnchor>
  <xdr:twoCellAnchor editAs="oneCell">
    <xdr:from>
      <xdr:col>4</xdr:col>
      <xdr:colOff>196321</xdr:colOff>
      <xdr:row>31</xdr:row>
      <xdr:rowOff>83609</xdr:rowOff>
    </xdr:from>
    <xdr:to>
      <xdr:col>4</xdr:col>
      <xdr:colOff>1273704</xdr:colOff>
      <xdr:row>35</xdr:row>
      <xdr:rowOff>139146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6F50E51-BA8E-4DB8-8309-0664F39FEF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56227" y="8048890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11</xdr:col>
      <xdr:colOff>154782</xdr:colOff>
      <xdr:row>30</xdr:row>
      <xdr:rowOff>160593</xdr:rowOff>
    </xdr:from>
    <xdr:to>
      <xdr:col>12</xdr:col>
      <xdr:colOff>414074</xdr:colOff>
      <xdr:row>38</xdr:row>
      <xdr:rowOff>122885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D2E26F5-84A3-42F1-95F7-A5299DE98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1" y="7947281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4F659D-224F-4E1D-AA9F-4007A81B9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</xdr:col>
      <xdr:colOff>607219</xdr:colOff>
      <xdr:row>43</xdr:row>
      <xdr:rowOff>142875</xdr:rowOff>
    </xdr:from>
    <xdr:to>
      <xdr:col>4</xdr:col>
      <xdr:colOff>464283</xdr:colOff>
      <xdr:row>50</xdr:row>
      <xdr:rowOff>137882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3D3810-FC33-4412-B0AA-2D3BD3A9A3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2938" y="10322719"/>
          <a:ext cx="2881251" cy="125706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7648EF2-84BD-4C2E-A85B-9771D0754E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17120C-4664-4F19-A660-C2D5D9A2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867603</xdr:colOff>
      <xdr:row>30</xdr:row>
      <xdr:rowOff>142754</xdr:rowOff>
    </xdr:from>
    <xdr:to>
      <xdr:col>4</xdr:col>
      <xdr:colOff>246917</xdr:colOff>
      <xdr:row>36</xdr:row>
      <xdr:rowOff>147482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C085B8-14AC-4B51-849E-B9C32B6F9A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6" y="761458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E0B11B-6860-4F4E-A7F5-D191432F8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BBEFBB-6351-4BE5-80BC-2DF11CEFDA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1272C73-6D82-4076-BE0A-B17CDABB2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3AFC9C1-5381-4D30-A99B-003F7156B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9754D6-7A50-4E04-BFEC-0D135B38A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551428</xdr:colOff>
      <xdr:row>44</xdr:row>
      <xdr:rowOff>74083</xdr:rowOff>
    </xdr:from>
    <xdr:to>
      <xdr:col>9</xdr:col>
      <xdr:colOff>1005415</xdr:colOff>
      <xdr:row>89</xdr:row>
      <xdr:rowOff>116417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8EDAB8-BFF3-654C-7260-D478CEAA1C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1340" b="17464"/>
        <a:stretch/>
      </xdr:blipFill>
      <xdr:spPr>
        <a:xfrm>
          <a:off x="593761" y="10138833"/>
          <a:ext cx="6338321" cy="8149167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430B451-0823-4531-9355-968377E3E0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B26881-B224-4C95-9AC1-E40ED0C59D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782935</xdr:colOff>
      <xdr:row>30</xdr:row>
      <xdr:rowOff>5171</xdr:rowOff>
    </xdr:from>
    <xdr:to>
      <xdr:col>4</xdr:col>
      <xdr:colOff>162249</xdr:colOff>
      <xdr:row>36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0809AC-7E77-46D8-823C-9A647AD265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1035" y="7539446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E0D467-FA89-441E-9F3D-12900204E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EA5CE09-066A-4CA7-AD75-ABB6ACDC38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B5B4239-1D50-4CBA-BB9E-C1D9F0ACA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4EE3E9C-C12C-464C-9E6B-468088E51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48DE05B-D452-4501-9491-AFB311E52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087B908-BA40-4CD6-8A1A-72C39C8869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6341C9-FDCD-47B6-8F20-126ECCA5D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59F461-920D-4844-B267-BEAEE76D1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</xdr:col>
      <xdr:colOff>584593</xdr:colOff>
      <xdr:row>29</xdr:row>
      <xdr:rowOff>18180</xdr:rowOff>
    </xdr:from>
    <xdr:to>
      <xdr:col>4</xdr:col>
      <xdr:colOff>4531</xdr:colOff>
      <xdr:row>35</xdr:row>
      <xdr:rowOff>171311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8B85422-9110-4522-9992-A2712A6B16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26926" y="7521763"/>
          <a:ext cx="2457355" cy="1243215"/>
        </a:xfrm>
        <a:prstGeom prst="rect">
          <a:avLst/>
        </a:prstGeom>
      </xdr:spPr>
    </xdr:pic>
    <xdr:clientData/>
  </xdr:twoCellAnchor>
  <xdr:twoCellAnchor editAs="oneCell">
    <xdr:from>
      <xdr:col>4</xdr:col>
      <xdr:colOff>306917</xdr:colOff>
      <xdr:row>30</xdr:row>
      <xdr:rowOff>164042</xdr:rowOff>
    </xdr:from>
    <xdr:to>
      <xdr:col>4</xdr:col>
      <xdr:colOff>1474288</xdr:colOff>
      <xdr:row>35</xdr:row>
      <xdr:rowOff>105832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ABC09F1-F435-411A-B101-9CE6628825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6667" y="7847542"/>
          <a:ext cx="1167371" cy="851957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6412C1-E90D-4C69-B210-A46C76872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211667</xdr:colOff>
      <xdr:row>33</xdr:row>
      <xdr:rowOff>91800</xdr:rowOff>
    </xdr:from>
    <xdr:to>
      <xdr:col>12</xdr:col>
      <xdr:colOff>243417</xdr:colOff>
      <xdr:row>41</xdr:row>
      <xdr:rowOff>32925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A6D8E7-484A-4754-BA90-D6FD67C24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72917" y="8325633"/>
          <a:ext cx="1005417" cy="1422792"/>
        </a:xfrm>
        <a:prstGeom prst="rect">
          <a:avLst/>
        </a:prstGeom>
      </xdr:spPr>
    </xdr:pic>
    <xdr:clientData/>
  </xdr:twoCellAnchor>
  <xdr:twoCellAnchor editAs="oneCell">
    <xdr:from>
      <xdr:col>10</xdr:col>
      <xdr:colOff>158750</xdr:colOff>
      <xdr:row>8</xdr:row>
      <xdr:rowOff>95250</xdr:rowOff>
    </xdr:from>
    <xdr:to>
      <xdr:col>18</xdr:col>
      <xdr:colOff>251627</xdr:colOff>
      <xdr:row>12</xdr:row>
      <xdr:rowOff>76344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221E058-F9FF-FB87-F535-F95DA6D85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0" y="2794000"/>
          <a:ext cx="5744377" cy="102884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6293D4E-8CF9-4B0F-8850-57C9253D34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657860</xdr:colOff>
      <xdr:row>29</xdr:row>
      <xdr:rowOff>122471</xdr:rowOff>
    </xdr:from>
    <xdr:to>
      <xdr:col>3</xdr:col>
      <xdr:colOff>1672274</xdr:colOff>
      <xdr:row>36</xdr:row>
      <xdr:rowOff>25376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20B278-105A-4B14-B21D-659A3AD113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5960" y="76948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1BD0DCD-11A5-4E4F-B012-0FD786075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2FBA09-9ABA-4C4D-848B-6FD03C1B6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31</xdr:row>
      <xdr:rowOff>38100</xdr:rowOff>
    </xdr:from>
    <xdr:to>
      <xdr:col>4</xdr:col>
      <xdr:colOff>1333499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406322D-42E4-45C0-A0A5-58CBCBC104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185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D9B2D0-33F3-4AA2-98A7-DCB274C295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33</xdr:row>
      <xdr:rowOff>65343</xdr:rowOff>
    </xdr:from>
    <xdr:to>
      <xdr:col>12</xdr:col>
      <xdr:colOff>97367</xdr:colOff>
      <xdr:row>41</xdr:row>
      <xdr:rowOff>8585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4FE2F21-D35A-4383-BF42-B7FE1A012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0" y="8371143"/>
          <a:ext cx="1002242" cy="142914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9CA917C-57CA-4F69-A32F-16C6B3F54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700083</xdr:colOff>
      <xdr:row>29</xdr:row>
      <xdr:rowOff>61914</xdr:rowOff>
    </xdr:from>
    <xdr:to>
      <xdr:col>3</xdr:col>
      <xdr:colOff>1676395</xdr:colOff>
      <xdr:row>35</xdr:row>
      <xdr:rowOff>124000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E4FD4B-4AA3-4DE5-BAC9-EF5D4B945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5802" y="7670008"/>
          <a:ext cx="2274093" cy="1145555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ED3D7F-7AAE-4ED4-AD9F-1AFAF48B1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910185-08AD-464D-B7BC-BCC330AE4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0701F8-0112-45C0-B9CF-6709DB00EF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292894</xdr:colOff>
      <xdr:row>31</xdr:row>
      <xdr:rowOff>47626</xdr:rowOff>
    </xdr:from>
    <xdr:to>
      <xdr:col>4</xdr:col>
      <xdr:colOff>1321593</xdr:colOff>
      <xdr:row>35</xdr:row>
      <xdr:rowOff>68128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D8A824-3116-4874-AA42-50BC720BBA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8012907"/>
          <a:ext cx="1028699" cy="746784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9F4664-F14B-4578-98F4-AA82AFFD55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B837551-F93F-4DAD-892F-6CF6E8017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669130</xdr:colOff>
      <xdr:row>35</xdr:row>
      <xdr:rowOff>157161</xdr:rowOff>
    </xdr:from>
    <xdr:to>
      <xdr:col>13</xdr:col>
      <xdr:colOff>564355</xdr:colOff>
      <xdr:row>42</xdr:row>
      <xdr:rowOff>92867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C0855396-771A-421C-909D-87F3525BB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0568" y="8848724"/>
          <a:ext cx="1240631" cy="1233487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7842C21-A06C-487C-AC81-05C1F07F5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666746</xdr:colOff>
      <xdr:row>29</xdr:row>
      <xdr:rowOff>123826</xdr:rowOff>
    </xdr:from>
    <xdr:to>
      <xdr:col>3</xdr:col>
      <xdr:colOff>1638296</xdr:colOff>
      <xdr:row>36</xdr:row>
      <xdr:rowOff>4937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CAE129-20EF-49C6-95E7-C6A8E2FFE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4846" y="769620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1B1805-55C1-469B-995C-60C67108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800931-2CBD-4EB8-B646-8311A619E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ACE8147-AB4E-47CD-BDD3-E0DB4FE411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1066800</xdr:colOff>
      <xdr:row>44</xdr:row>
      <xdr:rowOff>114300</xdr:rowOff>
    </xdr:from>
    <xdr:to>
      <xdr:col>5</xdr:col>
      <xdr:colOff>504824</xdr:colOff>
      <xdr:row>48</xdr:row>
      <xdr:rowOff>134803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A1D1DFF-D311-476B-A8AB-1BB1CC3BCC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4133850" y="104489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740D73-936A-4643-B657-C2CD743341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35</xdr:row>
      <xdr:rowOff>46293</xdr:rowOff>
    </xdr:from>
    <xdr:to>
      <xdr:col>12</xdr:col>
      <xdr:colOff>459317</xdr:colOff>
      <xdr:row>42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20E9C33-8EC3-4120-A5CE-01F621B27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6700" y="871404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31</xdr:row>
      <xdr:rowOff>19050</xdr:rowOff>
    </xdr:from>
    <xdr:to>
      <xdr:col>4</xdr:col>
      <xdr:colOff>1276349</xdr:colOff>
      <xdr:row>35</xdr:row>
      <xdr:rowOff>39553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7BAB3A-EDF9-447C-AC37-F1E61F4A79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4700" y="7953375"/>
          <a:ext cx="1028699" cy="753928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179CF33-28C7-42F2-AAB8-EC5AF4B9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476594</xdr:colOff>
      <xdr:row>43</xdr:row>
      <xdr:rowOff>92977</xdr:rowOff>
    </xdr:from>
    <xdr:to>
      <xdr:col>3</xdr:col>
      <xdr:colOff>1567554</xdr:colOff>
      <xdr:row>50</xdr:row>
      <xdr:rowOff>35448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32DC77D-74B9-4594-852C-8C5D159C47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17415" y="10162263"/>
          <a:ext cx="2397246" cy="1194328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743185C-D7B4-49DE-8F61-C08AA4FED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896A27-B3CA-4D73-9093-336F9D586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81920B65-7F07-44E9-A1D8-C5C47C909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3</xdr:col>
      <xdr:colOff>498021</xdr:colOff>
      <xdr:row>45</xdr:row>
      <xdr:rowOff>59872</xdr:rowOff>
    </xdr:from>
    <xdr:to>
      <xdr:col>3</xdr:col>
      <xdr:colOff>1458395</xdr:colOff>
      <xdr:row>49</xdr:row>
      <xdr:rowOff>44904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CAB5A8D-75E6-446A-BCA4-61938D43E6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845128" y="10496551"/>
          <a:ext cx="960374" cy="692603"/>
        </a:xfrm>
        <a:prstGeom prst="rect">
          <a:avLst/>
        </a:prstGeom>
      </xdr:spPr>
    </xdr:pic>
    <xdr:clientData/>
  </xdr:twoCellAnchor>
  <xdr:twoCellAnchor editAs="oneCell">
    <xdr:from>
      <xdr:col>12</xdr:col>
      <xdr:colOff>349703</xdr:colOff>
      <xdr:row>36</xdr:row>
      <xdr:rowOff>89807</xdr:rowOff>
    </xdr:from>
    <xdr:to>
      <xdr:col>13</xdr:col>
      <xdr:colOff>673124</xdr:colOff>
      <xdr:row>40</xdr:row>
      <xdr:rowOff>42181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F2100A-BE00-4C9D-9D78-1B53E633BC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786132" y="8880021"/>
          <a:ext cx="935742" cy="67355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0D7D314-78D9-4EB3-A5C1-2924CED772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733419</xdr:colOff>
      <xdr:row>40</xdr:row>
      <xdr:rowOff>164522</xdr:rowOff>
    </xdr:from>
    <xdr:to>
      <xdr:col>4</xdr:col>
      <xdr:colOff>267918</xdr:colOff>
      <xdr:row>47</xdr:row>
      <xdr:rowOff>163221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4AE422-D2C7-4388-8F87-AE1B74F87C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5752" y="9668355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3F22DA-88A2-42D3-8670-983A4AC33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481500-19CB-4539-A623-7CCB2E19D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546B13E7-B6FF-4579-B683-B40FA5796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67732</xdr:colOff>
      <xdr:row>43</xdr:row>
      <xdr:rowOff>78317</xdr:rowOff>
    </xdr:from>
    <xdr:to>
      <xdr:col>4</xdr:col>
      <xdr:colOff>1135717</xdr:colOff>
      <xdr:row>47</xdr:row>
      <xdr:rowOff>127000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C7EA5F0-057C-4CF8-BD70-70E7D5BFCD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47482" y="10153650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FFCE3AD-8460-433A-8EA3-A428B2CED3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4302ED7-87E4-4D16-98ED-97CE6DB96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550334</xdr:colOff>
      <xdr:row>34</xdr:row>
      <xdr:rowOff>169333</xdr:rowOff>
    </xdr:from>
    <xdr:to>
      <xdr:col>13</xdr:col>
      <xdr:colOff>454026</xdr:colOff>
      <xdr:row>41</xdr:row>
      <xdr:rowOff>115358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8FBC3474-616D-4051-B510-5427788EE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6534" y="8656108"/>
          <a:ext cx="1246717" cy="125095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B3285AA-C37E-4412-8E50-6EF19D604D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174385</xdr:colOff>
      <xdr:row>42</xdr:row>
      <xdr:rowOff>134806</xdr:rowOff>
    </xdr:from>
    <xdr:to>
      <xdr:col>3</xdr:col>
      <xdr:colOff>1586025</xdr:colOff>
      <xdr:row>50</xdr:row>
      <xdr:rowOff>63972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F355B8-9FAA-451A-A2FC-86AA2C96D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212485" y="10107481"/>
          <a:ext cx="2716565" cy="138649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2871CF7-911D-4B7F-ABB9-9E0FCF4CA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27C753-D492-46B3-8D2E-7EEDA4E10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3</xdr:col>
      <xdr:colOff>1720058</xdr:colOff>
      <xdr:row>46</xdr:row>
      <xdr:rowOff>46038</xdr:rowOff>
    </xdr:from>
    <xdr:to>
      <xdr:col>4</xdr:col>
      <xdr:colOff>1118434</xdr:colOff>
      <xdr:row>50</xdr:row>
      <xdr:rowOff>143934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8E73E2F-74FE-400A-A4C2-1A0B5EB7AA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63083" y="10752138"/>
          <a:ext cx="1122401" cy="82179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F80AE9-0C73-4914-B7EF-A2142A6D48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08E064B-6B51-4857-8B05-429AAD658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68791</xdr:colOff>
      <xdr:row>35</xdr:row>
      <xdr:rowOff>94193</xdr:rowOff>
    </xdr:from>
    <xdr:to>
      <xdr:col>12</xdr:col>
      <xdr:colOff>579966</xdr:colOff>
      <xdr:row>42</xdr:row>
      <xdr:rowOff>43393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CC7153E6-5918-48C2-A583-069681449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4991" y="8761943"/>
          <a:ext cx="1244600" cy="125412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58F66E6-8D13-4003-95ED-B46D9EA8F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606420</xdr:colOff>
      <xdr:row>29</xdr:row>
      <xdr:rowOff>26938</xdr:rowOff>
    </xdr:from>
    <xdr:to>
      <xdr:col>4</xdr:col>
      <xdr:colOff>140919</xdr:colOff>
      <xdr:row>36</xdr:row>
      <xdr:rowOff>57387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1AB7A18-1AB1-42E8-ADF4-9EC23D9E39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8753" y="7530521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F15A8F-AA84-418F-A4AD-61E56BDAE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BBF0D5-539C-4CE2-95E5-3837FC86F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E52C4A34-F2DD-434F-802B-D86889F45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279398</xdr:colOff>
      <xdr:row>31</xdr:row>
      <xdr:rowOff>35983</xdr:rowOff>
    </xdr:from>
    <xdr:to>
      <xdr:col>4</xdr:col>
      <xdr:colOff>1347383</xdr:colOff>
      <xdr:row>35</xdr:row>
      <xdr:rowOff>84666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F64FD9C-4AF5-48C7-A301-1EBBFA61D1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9148" y="7899400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FCE4EA7-94A0-4DFD-9FD9-C43B5F77E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5A3340F-3312-4539-A124-0AB9B239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550334</xdr:colOff>
      <xdr:row>34</xdr:row>
      <xdr:rowOff>169333</xdr:rowOff>
    </xdr:from>
    <xdr:to>
      <xdr:col>13</xdr:col>
      <xdr:colOff>454026</xdr:colOff>
      <xdr:row>41</xdr:row>
      <xdr:rowOff>115358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61F629A1-EEC7-47D5-BA26-73FA0D54A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01" y="8583083"/>
          <a:ext cx="1247775" cy="124777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8738A88-0479-46C2-9128-C85D698DC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689024</xdr:colOff>
      <xdr:row>29</xdr:row>
      <xdr:rowOff>62952</xdr:rowOff>
    </xdr:from>
    <xdr:to>
      <xdr:col>4</xdr:col>
      <xdr:colOff>154410</xdr:colOff>
      <xdr:row>36</xdr:row>
      <xdr:rowOff>59041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A6D275-6187-440F-931D-FBB1ECA92E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1357" y="7566535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159CD27-4ED6-40BF-812D-5F354BEE2D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3010C42A-E051-4A4E-B6AD-3F5CD0874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288924</xdr:colOff>
      <xdr:row>43</xdr:row>
      <xdr:rowOff>68793</xdr:rowOff>
    </xdr:from>
    <xdr:to>
      <xdr:col>3</xdr:col>
      <xdr:colOff>679449</xdr:colOff>
      <xdr:row>46</xdr:row>
      <xdr:rowOff>171481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21BB03-C089-44F3-8E1B-EEF4F2D006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35591" y="10144126"/>
          <a:ext cx="898525" cy="653022"/>
        </a:xfrm>
        <a:prstGeom prst="rect">
          <a:avLst/>
        </a:prstGeom>
      </xdr:spPr>
    </xdr:pic>
    <xdr:clientData/>
  </xdr:twoCellAnchor>
  <xdr:twoCellAnchor editAs="oneCell">
    <xdr:from>
      <xdr:col>4</xdr:col>
      <xdr:colOff>245534</xdr:colOff>
      <xdr:row>31</xdr:row>
      <xdr:rowOff>60325</xdr:rowOff>
    </xdr:from>
    <xdr:to>
      <xdr:col>4</xdr:col>
      <xdr:colOff>1270000</xdr:colOff>
      <xdr:row>35</xdr:row>
      <xdr:rowOff>77268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A30ECA-2FAA-413F-8B09-4102FE964C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5284" y="7923742"/>
          <a:ext cx="1024466" cy="747193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C37F63E-C49D-4367-AA78-DA75BC248C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692943</xdr:colOff>
      <xdr:row>29</xdr:row>
      <xdr:rowOff>142876</xdr:rowOff>
    </xdr:from>
    <xdr:to>
      <xdr:col>3</xdr:col>
      <xdr:colOff>1664493</xdr:colOff>
      <xdr:row>36</xdr:row>
      <xdr:rowOff>23987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911D70-4962-4441-92F9-A0FDF86889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8662" y="7810501"/>
          <a:ext cx="2269331" cy="1143174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A12A79-8CE5-4A93-9E52-7B3BE9B980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867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29</xdr:row>
      <xdr:rowOff>85725</xdr:rowOff>
    </xdr:from>
    <xdr:to>
      <xdr:col>13</xdr:col>
      <xdr:colOff>47625</xdr:colOff>
      <xdr:row>35</xdr:row>
      <xdr:rowOff>52705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8E25D1D-4D35-4B46-82DB-DF3F731BB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3325" y="7715250"/>
          <a:ext cx="1533525" cy="1062355"/>
        </a:xfrm>
        <a:prstGeom prst="rect">
          <a:avLst/>
        </a:prstGeom>
      </xdr:spPr>
    </xdr:pic>
    <xdr:clientData/>
  </xdr:twoCellAnchor>
  <xdr:oneCellAnchor>
    <xdr:from>
      <xdr:col>3</xdr:col>
      <xdr:colOff>885825</xdr:colOff>
      <xdr:row>45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A1DAFE80-47FA-47C0-B09C-D2261D5FC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8850" y="106489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371475</xdr:colOff>
      <xdr:row>31</xdr:row>
      <xdr:rowOff>47625</xdr:rowOff>
    </xdr:from>
    <xdr:to>
      <xdr:col>4</xdr:col>
      <xdr:colOff>1271588</xdr:colOff>
      <xdr:row>34</xdr:row>
      <xdr:rowOff>146610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DCEE7EA-EEDF-476C-A697-F834907002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1381" y="8072438"/>
          <a:ext cx="900113" cy="646672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C125783-13B2-4F3D-A37E-81A3D4B3D7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133346</xdr:colOff>
      <xdr:row>43</xdr:row>
      <xdr:rowOff>114301</xdr:rowOff>
    </xdr:from>
    <xdr:to>
      <xdr:col>4</xdr:col>
      <xdr:colOff>180971</xdr:colOff>
      <xdr:row>49</xdr:row>
      <xdr:rowOff>176387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ABB540-1EB1-4D65-B696-55AC733539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971546" y="102679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E2EE38-DBBC-40CA-A940-7A3741170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EFAB544-AD7D-444E-A434-16769DD31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6BF6460-3AE4-4B45-B913-26D88C950A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542925</xdr:colOff>
      <xdr:row>45</xdr:row>
      <xdr:rowOff>76200</xdr:rowOff>
    </xdr:from>
    <xdr:to>
      <xdr:col>4</xdr:col>
      <xdr:colOff>1571624</xdr:colOff>
      <xdr:row>49</xdr:row>
      <xdr:rowOff>106228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17774E-4A30-4A88-A557-EC489AD13C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09975" y="106013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493B84-93D5-43ED-A0B5-46F6B015C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066785C-A1CF-4430-9C9E-9EBFFAD73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561974</xdr:colOff>
      <xdr:row>37</xdr:row>
      <xdr:rowOff>76199</xdr:rowOff>
    </xdr:from>
    <xdr:to>
      <xdr:col>13</xdr:col>
      <xdr:colOff>466724</xdr:colOff>
      <xdr:row>44</xdr:row>
      <xdr:rowOff>19049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18EB2BCF-5692-4295-B2A8-F2C1F7D73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8174" y="9105899"/>
          <a:ext cx="1247775" cy="124777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CAD399B-E40A-4C2C-9E06-FD0BE23CF3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752474</xdr:colOff>
      <xdr:row>41</xdr:row>
      <xdr:rowOff>164642</xdr:rowOff>
    </xdr:from>
    <xdr:to>
      <xdr:col>3</xdr:col>
      <xdr:colOff>1724024</xdr:colOff>
      <xdr:row>48</xdr:row>
      <xdr:rowOff>48475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F6384D-E506-4802-A875-57FACD81BC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3295" y="9880142"/>
          <a:ext cx="2277836" cy="1135690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312564-530A-49C3-8FE2-644C74B2E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BCB618-3342-43BC-9EFE-108F1415B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288548</xdr:colOff>
      <xdr:row>45</xdr:row>
      <xdr:rowOff>159203</xdr:rowOff>
    </xdr:from>
    <xdr:to>
      <xdr:col>3</xdr:col>
      <xdr:colOff>729221</xdr:colOff>
      <xdr:row>49</xdr:row>
      <xdr:rowOff>129417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178FA6-6E5F-49F4-AB15-FE0D292A06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32191" y="10595882"/>
          <a:ext cx="944137" cy="677785"/>
        </a:xfrm>
        <a:prstGeom prst="rect">
          <a:avLst/>
        </a:prstGeom>
      </xdr:spPr>
    </xdr:pic>
    <xdr:clientData/>
  </xdr:twoCellAnchor>
  <xdr:twoCellAnchor editAs="oneCell">
    <xdr:from>
      <xdr:col>4</xdr:col>
      <xdr:colOff>310684</xdr:colOff>
      <xdr:row>45</xdr:row>
      <xdr:rowOff>65314</xdr:rowOff>
    </xdr:from>
    <xdr:to>
      <xdr:col>4</xdr:col>
      <xdr:colOff>1360593</xdr:colOff>
      <xdr:row>49</xdr:row>
      <xdr:rowOff>111728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C6B8CE3-F85E-48D6-B351-C72F73B7E3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5898" y="10501993"/>
          <a:ext cx="1049909" cy="75398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B6B2D3B-5518-4C9C-A67E-122D525AA0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705486</xdr:colOff>
      <xdr:row>29</xdr:row>
      <xdr:rowOff>103422</xdr:rowOff>
    </xdr:from>
    <xdr:to>
      <xdr:col>3</xdr:col>
      <xdr:colOff>1719900</xdr:colOff>
      <xdr:row>36</xdr:row>
      <xdr:rowOff>6327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3692A57-9C6D-4D36-9CE2-BCBD675DD2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3586" y="767579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5390FE-7E64-44B4-8892-7B229B4D8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5F6616-F335-4CD8-95CB-3AEDDD28B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31</xdr:row>
      <xdr:rowOff>47625</xdr:rowOff>
    </xdr:from>
    <xdr:to>
      <xdr:col>4</xdr:col>
      <xdr:colOff>1304924</xdr:colOff>
      <xdr:row>35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17D681-C488-4AB0-806B-E8B07A261B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3275" y="7981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528107-B4D2-4BA3-BEEE-6B004E58B3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43</xdr:row>
      <xdr:rowOff>141543</xdr:rowOff>
    </xdr:from>
    <xdr:to>
      <xdr:col>3</xdr:col>
      <xdr:colOff>783167</xdr:colOff>
      <xdr:row>51</xdr:row>
      <xdr:rowOff>113360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8A84115-95B9-4FEB-B589-9119E7E31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950" y="102951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0</xdr:row>
      <xdr:rowOff>0</xdr:rowOff>
    </xdr:from>
    <xdr:to>
      <xdr:col>21</xdr:col>
      <xdr:colOff>172508</xdr:colOff>
      <xdr:row>8</xdr:row>
      <xdr:rowOff>200430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B08FFF9-27F7-4A49-B47E-1F6FCD088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05700" y="0"/>
          <a:ext cx="7582958" cy="290553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FA90DE8-B5BC-4087-B0AD-6ADADCC3EA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647697</xdr:colOff>
      <xdr:row>41</xdr:row>
      <xdr:rowOff>57149</xdr:rowOff>
    </xdr:from>
    <xdr:to>
      <xdr:col>3</xdr:col>
      <xdr:colOff>1619247</xdr:colOff>
      <xdr:row>47</xdr:row>
      <xdr:rowOff>119235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6FC78C2-6629-4782-B0AD-3B19C6DEBB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85797" y="9848849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5E3FD0E-DCA0-4732-A68B-D4208D262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A16307-7B9E-4F57-BD6E-D0B38F894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1714500</xdr:colOff>
      <xdr:row>46</xdr:row>
      <xdr:rowOff>41084</xdr:rowOff>
    </xdr:from>
    <xdr:to>
      <xdr:col>4</xdr:col>
      <xdr:colOff>1000124</xdr:colOff>
      <xdr:row>50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81C3A32-4A3C-4EE3-BBD2-53648629E2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57525" y="1074718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A29186-4905-4538-B8A7-F1B52804E4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</xdr:row>
      <xdr:rowOff>171450</xdr:rowOff>
    </xdr:from>
    <xdr:to>
      <xdr:col>3</xdr:col>
      <xdr:colOff>600074</xdr:colOff>
      <xdr:row>47</xdr:row>
      <xdr:rowOff>1098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C9A5617-702E-4BD8-BA57-8BD85CD049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933450" y="10144125"/>
          <a:ext cx="1009649" cy="73996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A53B7CA-CB89-40D4-B0D0-1060AB26D5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485774</xdr:colOff>
      <xdr:row>41</xdr:row>
      <xdr:rowOff>47628</xdr:rowOff>
    </xdr:from>
    <xdr:to>
      <xdr:col>3</xdr:col>
      <xdr:colOff>1457324</xdr:colOff>
      <xdr:row>47</xdr:row>
      <xdr:rowOff>109714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9773A6-3232-4A4F-B044-1A6285B1E3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23874" y="9839328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444C15-8517-4204-B01E-153C922B2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1A2C16-3C02-484B-8175-AAB5B6B8E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43</xdr:row>
      <xdr:rowOff>117284</xdr:rowOff>
    </xdr:from>
    <xdr:to>
      <xdr:col>4</xdr:col>
      <xdr:colOff>1047749</xdr:colOff>
      <xdr:row>47</xdr:row>
      <xdr:rowOff>123825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C65AC5A-CC77-49C5-90D6-5FAB029658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05150" y="1027093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4E59B57-0F03-4256-86B7-782C895746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42</xdr:row>
      <xdr:rowOff>46293</xdr:rowOff>
    </xdr:from>
    <xdr:to>
      <xdr:col>3</xdr:col>
      <xdr:colOff>773642</xdr:colOff>
      <xdr:row>50</xdr:row>
      <xdr:rowOff>18110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5FFA12-9322-4AFA-A02C-52FD76E7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425" y="10018968"/>
          <a:ext cx="1002242" cy="1429142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CA42B75-BDCF-4435-9A1B-05E657413A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517283</xdr:colOff>
      <xdr:row>43</xdr:row>
      <xdr:rowOff>125280</xdr:rowOff>
    </xdr:from>
    <xdr:to>
      <xdr:col>4</xdr:col>
      <xdr:colOff>204898</xdr:colOff>
      <xdr:row>51</xdr:row>
      <xdr:rowOff>54446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5CB48A-2CB8-4DBB-BCD4-7781F2F91A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55383" y="10278930"/>
          <a:ext cx="2716565" cy="138649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2DA578-0ECB-4AD0-8498-F89422DDA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B237E2E-B536-4FAC-B330-09E89E332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538958</xdr:colOff>
      <xdr:row>45</xdr:row>
      <xdr:rowOff>74613</xdr:rowOff>
    </xdr:from>
    <xdr:to>
      <xdr:col>5</xdr:col>
      <xdr:colOff>70684</xdr:colOff>
      <xdr:row>49</xdr:row>
      <xdr:rowOff>172509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524AAE3-A875-4429-A3E8-A08C96436B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06008" y="10599738"/>
          <a:ext cx="1122401" cy="82179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111D9F-DF8B-4784-8C3C-70CBD5223D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1A6F77-A6D7-48ED-B7DD-66A6FB0D2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764116</xdr:colOff>
      <xdr:row>45</xdr:row>
      <xdr:rowOff>84668</xdr:rowOff>
    </xdr:from>
    <xdr:to>
      <xdr:col>4</xdr:col>
      <xdr:colOff>284691</xdr:colOff>
      <xdr:row>52</xdr:row>
      <xdr:rowOff>71968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78630796-A269-4BF0-B2A5-21BB84187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7141" y="10609793"/>
          <a:ext cx="1244600" cy="12541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E57D8A4-7ECB-4D47-A607-3F944EC446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636107</xdr:colOff>
      <xdr:row>29</xdr:row>
      <xdr:rowOff>62951</xdr:rowOff>
    </xdr:from>
    <xdr:to>
      <xdr:col>4</xdr:col>
      <xdr:colOff>101493</xdr:colOff>
      <xdr:row>36</xdr:row>
      <xdr:rowOff>59040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9629D7-91BD-4837-88AD-EB429F5E4E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78440" y="7566534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C41009E-FC94-4976-A9D8-90185E835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25FFDE52-3FD4-48A2-A4A3-BFE6BAA8D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288924</xdr:colOff>
      <xdr:row>43</xdr:row>
      <xdr:rowOff>68793</xdr:rowOff>
    </xdr:from>
    <xdr:to>
      <xdr:col>3</xdr:col>
      <xdr:colOff>679449</xdr:colOff>
      <xdr:row>46</xdr:row>
      <xdr:rowOff>171481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503804-3DFC-4FD3-BAA2-C03A1571F0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27124" y="10222443"/>
          <a:ext cx="895350" cy="655138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39159</xdr:rowOff>
    </xdr:from>
    <xdr:to>
      <xdr:col>4</xdr:col>
      <xdr:colOff>1280583</xdr:colOff>
      <xdr:row>35</xdr:row>
      <xdr:rowOff>56102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A4F697-6333-48B2-92E0-599CFD04B0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902576"/>
          <a:ext cx="1024466" cy="747193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DF145B86-AB06-47FF-8CAB-E898E358D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609600</xdr:colOff>
      <xdr:row>33</xdr:row>
      <xdr:rowOff>59532</xdr:rowOff>
    </xdr:from>
    <xdr:to>
      <xdr:col>3</xdr:col>
      <xdr:colOff>1581150</xdr:colOff>
      <xdr:row>39</xdr:row>
      <xdr:rowOff>131143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26C336-B816-435F-A09C-B2243B9275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5319" y="8453438"/>
          <a:ext cx="2269331" cy="1143174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990936-FE4E-4C71-B8DB-2773CBCD0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867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29</xdr:row>
      <xdr:rowOff>85725</xdr:rowOff>
    </xdr:from>
    <xdr:to>
      <xdr:col>13</xdr:col>
      <xdr:colOff>47625</xdr:colOff>
      <xdr:row>35</xdr:row>
      <xdr:rowOff>52705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25A70F-A21B-4C1A-B0A2-A258A41B6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3325" y="7715250"/>
          <a:ext cx="1533525" cy="1062355"/>
        </a:xfrm>
        <a:prstGeom prst="rect">
          <a:avLst/>
        </a:prstGeom>
      </xdr:spPr>
    </xdr:pic>
    <xdr:clientData/>
  </xdr:twoCellAnchor>
  <xdr:oneCellAnchor>
    <xdr:from>
      <xdr:col>3</xdr:col>
      <xdr:colOff>885825</xdr:colOff>
      <xdr:row>45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B63D69AC-4258-449F-B6F4-3668661C5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8850" y="106489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800100</xdr:colOff>
      <xdr:row>46</xdr:row>
      <xdr:rowOff>95250</xdr:rowOff>
    </xdr:from>
    <xdr:to>
      <xdr:col>5</xdr:col>
      <xdr:colOff>104775</xdr:colOff>
      <xdr:row>50</xdr:row>
      <xdr:rowOff>27547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56F9B2-5561-4275-8414-8E77AFDBB8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867150" y="10858500"/>
          <a:ext cx="895350" cy="656197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237CC55-A945-422A-AC46-EBCECCD5F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647697</xdr:colOff>
      <xdr:row>41</xdr:row>
      <xdr:rowOff>57149</xdr:rowOff>
    </xdr:from>
    <xdr:to>
      <xdr:col>3</xdr:col>
      <xdr:colOff>1619247</xdr:colOff>
      <xdr:row>47</xdr:row>
      <xdr:rowOff>119235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562B0C-F574-4194-A733-B996C1FB2A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85797" y="9848849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6C1AD52-45CD-4834-8BF2-97CD365D6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5E9976-A7FF-4A7F-AE17-27D0B1D9FD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1714500</xdr:colOff>
      <xdr:row>46</xdr:row>
      <xdr:rowOff>41084</xdr:rowOff>
    </xdr:from>
    <xdr:to>
      <xdr:col>4</xdr:col>
      <xdr:colOff>1000124</xdr:colOff>
      <xdr:row>50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1141DF5-3955-4FE7-BD3F-1DAA9AFDAE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57525" y="1074718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F7DCE28-9212-411F-9FE8-4EDB9872BB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</xdr:row>
      <xdr:rowOff>171450</xdr:rowOff>
    </xdr:from>
    <xdr:to>
      <xdr:col>3</xdr:col>
      <xdr:colOff>600074</xdr:colOff>
      <xdr:row>46</xdr:row>
      <xdr:rowOff>177991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87FC47D-5F43-4DB8-9BBF-B79BEC8B6F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933450" y="10144125"/>
          <a:ext cx="1009649" cy="739966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83E6AD4-36EB-4E29-B769-E939FA1C3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485774</xdr:colOff>
      <xdr:row>41</xdr:row>
      <xdr:rowOff>47628</xdr:rowOff>
    </xdr:from>
    <xdr:to>
      <xdr:col>3</xdr:col>
      <xdr:colOff>1457324</xdr:colOff>
      <xdr:row>47</xdr:row>
      <xdr:rowOff>109714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ACCBF7-23C2-491B-8539-7AD6CEEBA7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23874" y="9839328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1FEEE29-8866-4AF8-8A47-953DE96C3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2D76EC-8381-46F5-972B-35DE86D91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43</xdr:row>
      <xdr:rowOff>117284</xdr:rowOff>
    </xdr:from>
    <xdr:to>
      <xdr:col>4</xdr:col>
      <xdr:colOff>1047749</xdr:colOff>
      <xdr:row>47</xdr:row>
      <xdr:rowOff>123825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A9B3C6B-C967-4D9E-B0A4-DB2DC0BC91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05150" y="1027093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2113508-2705-45F3-BF56-B7B3A3E475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42</xdr:row>
      <xdr:rowOff>46293</xdr:rowOff>
    </xdr:from>
    <xdr:to>
      <xdr:col>3</xdr:col>
      <xdr:colOff>773642</xdr:colOff>
      <xdr:row>50</xdr:row>
      <xdr:rowOff>18110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BCDCE22-C5FF-4FBF-974D-5143997A9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425" y="10018968"/>
          <a:ext cx="1002242" cy="1429142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7E2244F-95AC-4195-AE50-DEA63C93FB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639881</xdr:colOff>
      <xdr:row>36</xdr:row>
      <xdr:rowOff>24941</xdr:rowOff>
    </xdr:from>
    <xdr:to>
      <xdr:col>4</xdr:col>
      <xdr:colOff>2734</xdr:colOff>
      <xdr:row>42</xdr:row>
      <xdr:rowOff>117090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2D53A1-EBAA-4E0C-BBA7-3018C40173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77981" y="8873666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093B2AD-0AED-42F2-9BDA-50EE4ADF6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9A32E8-7C72-4858-A89A-3D1B8BD50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362F1C12-827A-4CC3-993B-3FA855ED5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266699</xdr:colOff>
      <xdr:row>31</xdr:row>
      <xdr:rowOff>114300</xdr:rowOff>
    </xdr:from>
    <xdr:to>
      <xdr:col>3</xdr:col>
      <xdr:colOff>723609</xdr:colOff>
      <xdr:row>35</xdr:row>
      <xdr:rowOff>85725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DC7A1D-079C-43CC-A79C-BF8CB201C9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04899" y="80486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31</xdr:row>
      <xdr:rowOff>76200</xdr:rowOff>
    </xdr:from>
    <xdr:to>
      <xdr:col>4</xdr:col>
      <xdr:colOff>1231017</xdr:colOff>
      <xdr:row>35</xdr:row>
      <xdr:rowOff>28575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0BE72F5-EA09-450C-BCA9-5935C03DDD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5" y="8010525"/>
          <a:ext cx="935742" cy="6858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5AD15BD-BECA-445E-8EC9-9587CB3E63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752474</xdr:colOff>
      <xdr:row>36</xdr:row>
      <xdr:rowOff>28571</xdr:rowOff>
    </xdr:from>
    <xdr:to>
      <xdr:col>3</xdr:col>
      <xdr:colOff>1724024</xdr:colOff>
      <xdr:row>42</xdr:row>
      <xdr:rowOff>62082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67F28B-60FE-4629-9C5C-B4D9B3037D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0574" y="8877296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3C1784-7ED3-4889-9B86-EAE960E5C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1CC84E-2FDD-438C-8204-4C5CA23AB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288548</xdr:colOff>
      <xdr:row>31</xdr:row>
      <xdr:rowOff>104775</xdr:rowOff>
    </xdr:from>
    <xdr:to>
      <xdr:col>3</xdr:col>
      <xdr:colOff>729221</xdr:colOff>
      <xdr:row>35</xdr:row>
      <xdr:rowOff>61382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5253EA-580E-415C-99EC-E54EE9BACE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26748" y="8039100"/>
          <a:ext cx="945498" cy="690032"/>
        </a:xfrm>
        <a:prstGeom prst="rect">
          <a:avLst/>
        </a:prstGeom>
      </xdr:spPr>
    </xdr:pic>
    <xdr:clientData/>
  </xdr:twoCellAnchor>
  <xdr:twoCellAnchor editAs="oneCell">
    <xdr:from>
      <xdr:col>4</xdr:col>
      <xdr:colOff>269862</xdr:colOff>
      <xdr:row>31</xdr:row>
      <xdr:rowOff>38100</xdr:rowOff>
    </xdr:from>
    <xdr:to>
      <xdr:col>4</xdr:col>
      <xdr:colOff>1319771</xdr:colOff>
      <xdr:row>35</xdr:row>
      <xdr:rowOff>70907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9E2DC4-9639-41BE-9703-E7AB14E731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6912" y="7972425"/>
          <a:ext cx="1049909" cy="766232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559DA10-AA5D-4679-9FF5-2EA4BE1BE0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603009</xdr:colOff>
      <xdr:row>35</xdr:row>
      <xdr:rowOff>30031</xdr:rowOff>
    </xdr:from>
    <xdr:to>
      <xdr:col>4</xdr:col>
      <xdr:colOff>290624</xdr:colOff>
      <xdr:row>42</xdr:row>
      <xdr:rowOff>111597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288583-7066-4FA8-93E5-D3A7635BD4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5342" y="8623698"/>
          <a:ext cx="2725032" cy="1383316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784DF63-C515-47CA-93D2-D2178538B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2A9A8E-E042-41EC-BCE1-43035DB75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262733</xdr:colOff>
      <xdr:row>31</xdr:row>
      <xdr:rowOff>17463</xdr:rowOff>
    </xdr:from>
    <xdr:to>
      <xdr:col>4</xdr:col>
      <xdr:colOff>1385134</xdr:colOff>
      <xdr:row>35</xdr:row>
      <xdr:rowOff>105834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5AA479-2ACE-4394-944D-295ED42B6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2483" y="7880880"/>
          <a:ext cx="1122401" cy="818621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3F8FDF-AF53-49FE-A19C-92C989708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16066E1-F84E-4593-83F7-893C1BF0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</xdr:colOff>
      <xdr:row>29</xdr:row>
      <xdr:rowOff>84668</xdr:rowOff>
    </xdr:from>
    <xdr:to>
      <xdr:col>3</xdr:col>
      <xdr:colOff>760941</xdr:colOff>
      <xdr:row>36</xdr:row>
      <xdr:rowOff>62443</xdr:rowOff>
    </xdr:to>
    <xdr:pic>
      <xdr:nvPicPr>
        <xdr:cNvPr id="11" name="Picture 10" descr="A white line on a black background&#10;&#10;Description automatically generated">
          <a:extLst>
            <a:ext uri="{FF2B5EF4-FFF2-40B4-BE49-F238E27FC236}">
              <a16:creationId xmlns:a16="http://schemas.microsoft.com/office/drawing/2014/main" id="{85696122-426C-4AD0-95EE-0096CD74E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7833" y="7588251"/>
          <a:ext cx="1247775" cy="1247775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A5F643C-C191-43B7-B343-FA4A21A75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648752</xdr:colOff>
      <xdr:row>35</xdr:row>
      <xdr:rowOff>101021</xdr:rowOff>
    </xdr:from>
    <xdr:to>
      <xdr:col>4</xdr:col>
      <xdr:colOff>183251</xdr:colOff>
      <xdr:row>42</xdr:row>
      <xdr:rowOff>99720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153CA1-6267-4449-8A02-997206450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1085" y="8694688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6796C2-0F67-46BD-B015-DB2DF7721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E4F020F-90D2-4C7C-887E-D5C00DB64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5EDE4E53-C44C-47DF-BCB8-5BC046117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226482</xdr:colOff>
      <xdr:row>31</xdr:row>
      <xdr:rowOff>57149</xdr:rowOff>
    </xdr:from>
    <xdr:to>
      <xdr:col>4</xdr:col>
      <xdr:colOff>1294467</xdr:colOff>
      <xdr:row>35</xdr:row>
      <xdr:rowOff>105832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DFF25E-E8FE-46CE-BDFD-8D7FE87887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6232" y="7920566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C1AFD7D-2A7D-443E-83E6-5BCDCE8DDF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2A29790-0B0C-4E16-8598-37FAF470D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</xdr:colOff>
      <xdr:row>29</xdr:row>
      <xdr:rowOff>10584</xdr:rowOff>
    </xdr:from>
    <xdr:to>
      <xdr:col>3</xdr:col>
      <xdr:colOff>771525</xdr:colOff>
      <xdr:row>35</xdr:row>
      <xdr:rowOff>168275</xdr:rowOff>
    </xdr:to>
    <xdr:pic>
      <xdr:nvPicPr>
        <xdr:cNvPr id="12" name="Picture 11" descr="A white line on a black background&#10;&#10;Description automatically generated">
          <a:extLst>
            <a:ext uri="{FF2B5EF4-FFF2-40B4-BE49-F238E27FC236}">
              <a16:creationId xmlns:a16="http://schemas.microsoft.com/office/drawing/2014/main" id="{2E83ABEE-344A-4929-954A-85A09B445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417" y="7514167"/>
          <a:ext cx="1247775" cy="124777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B0FF00D-C2CC-4910-AE38-42E6A898F5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657275</xdr:colOff>
      <xdr:row>35</xdr:row>
      <xdr:rowOff>126450</xdr:rowOff>
    </xdr:from>
    <xdr:to>
      <xdr:col>4</xdr:col>
      <xdr:colOff>122661</xdr:colOff>
      <xdr:row>42</xdr:row>
      <xdr:rowOff>90789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9F685C-6C1D-4E03-840A-B3C08960D2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9608" y="8720117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9CE3642-CC56-4D62-A45C-1F986CA4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77D9747C-41E6-4821-9A32-2E5257F8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363008</xdr:colOff>
      <xdr:row>31</xdr:row>
      <xdr:rowOff>89959</xdr:rowOff>
    </xdr:from>
    <xdr:to>
      <xdr:col>3</xdr:col>
      <xdr:colOff>753533</xdr:colOff>
      <xdr:row>35</xdr:row>
      <xdr:rowOff>12731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3630CB9-4ED5-4D54-B9A2-549066C093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209675" y="7953376"/>
          <a:ext cx="898525" cy="653022"/>
        </a:xfrm>
        <a:prstGeom prst="rect">
          <a:avLst/>
        </a:prstGeom>
      </xdr:spPr>
    </xdr:pic>
    <xdr:clientData/>
  </xdr:twoCellAnchor>
  <xdr:twoCellAnchor editAs="oneCell">
    <xdr:from>
      <xdr:col>4</xdr:col>
      <xdr:colOff>383118</xdr:colOff>
      <xdr:row>31</xdr:row>
      <xdr:rowOff>92075</xdr:rowOff>
    </xdr:from>
    <xdr:to>
      <xdr:col>4</xdr:col>
      <xdr:colOff>1278468</xdr:colOff>
      <xdr:row>35</xdr:row>
      <xdr:rowOff>14847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DF07934-AEAA-443C-80A5-B8A2FBCA66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2868" y="7955492"/>
          <a:ext cx="895350" cy="653022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716AC89-8D16-428B-B401-77C2C480D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695319</xdr:colOff>
      <xdr:row>29</xdr:row>
      <xdr:rowOff>35719</xdr:rowOff>
    </xdr:from>
    <xdr:to>
      <xdr:col>3</xdr:col>
      <xdr:colOff>1666869</xdr:colOff>
      <xdr:row>35</xdr:row>
      <xdr:rowOff>97805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509C2C-771E-4143-B3A0-C9DF3616BD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1038" y="7643813"/>
          <a:ext cx="2269331" cy="1145555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B5143C-0F12-4B15-88C5-A94E3DD82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96C7BA-1449-4E04-A64D-F493AA621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D8DCF7-7DCA-46DA-BAF4-0E8FC1330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57150</xdr:rowOff>
    </xdr:from>
    <xdr:to>
      <xdr:col>4</xdr:col>
      <xdr:colOff>1257299</xdr:colOff>
      <xdr:row>35</xdr:row>
      <xdr:rowOff>77653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190F147-52CB-45A1-BEC7-B3EF37F337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79914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7E87A8-BA4A-4EFB-ABFC-68337884E0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561975</xdr:colOff>
      <xdr:row>42</xdr:row>
      <xdr:rowOff>110587</xdr:rowOff>
    </xdr:from>
    <xdr:to>
      <xdr:col>3</xdr:col>
      <xdr:colOff>259292</xdr:colOff>
      <xdr:row>50</xdr:row>
      <xdr:rowOff>82404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4C37E56-A253-47E8-8A47-E38F9265D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694" y="10099931"/>
          <a:ext cx="995098" cy="1412473"/>
        </a:xfrm>
        <a:prstGeom prst="rect">
          <a:avLst/>
        </a:prstGeom>
      </xdr:spPr>
    </xdr:pic>
    <xdr:clientData/>
  </xdr:twoCellAnchor>
  <xdr:twoCellAnchor editAs="oneCell">
    <xdr:from>
      <xdr:col>4</xdr:col>
      <xdr:colOff>1571624</xdr:colOff>
      <xdr:row>43</xdr:row>
      <xdr:rowOff>104774</xdr:rowOff>
    </xdr:from>
    <xdr:to>
      <xdr:col>9</xdr:col>
      <xdr:colOff>76199</xdr:colOff>
      <xdr:row>50</xdr:row>
      <xdr:rowOff>76199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DF667E1B-C7F1-44FE-9DCF-70F8E2DC2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4" y="10258424"/>
          <a:ext cx="1247775" cy="1247775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</xdr:colOff>
      <xdr:row>4</xdr:row>
      <xdr:rowOff>200025</xdr:rowOff>
    </xdr:from>
    <xdr:to>
      <xdr:col>18</xdr:col>
      <xdr:colOff>171450</xdr:colOff>
      <xdr:row>12</xdr:row>
      <xdr:rowOff>171705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968F7DE-E592-5D9C-3ABC-AFCC1DED6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77125" y="2105025"/>
          <a:ext cx="5781675" cy="1829055"/>
        </a:xfrm>
        <a:prstGeom prst="rect">
          <a:avLst/>
        </a:prstGeom>
      </xdr:spPr>
    </xdr:pic>
    <xdr:clientData/>
  </xdr:twoCellAnchor>
  <xdr:twoCellAnchor editAs="oneCell">
    <xdr:from>
      <xdr:col>2</xdr:col>
      <xdr:colOff>486274</xdr:colOff>
      <xdr:row>44</xdr:row>
      <xdr:rowOff>35719</xdr:rowOff>
    </xdr:from>
    <xdr:to>
      <xdr:col>3</xdr:col>
      <xdr:colOff>1444579</xdr:colOff>
      <xdr:row>50</xdr:row>
      <xdr:rowOff>35720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1BE6D6F-E8D0-8F5B-E454-4D00E1BDE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clrChange>
            <a:clrFrom>
              <a:srgbClr val="FDFCF7"/>
            </a:clrFrom>
            <a:clrTo>
              <a:srgbClr val="FDFCF7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9712" y="10382250"/>
          <a:ext cx="1458367" cy="108347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F6E8874-53CE-4D84-8810-6793DBC3EF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733421</xdr:colOff>
      <xdr:row>36</xdr:row>
      <xdr:rowOff>47626</xdr:rowOff>
    </xdr:from>
    <xdr:to>
      <xdr:col>3</xdr:col>
      <xdr:colOff>1704971</xdr:colOff>
      <xdr:row>42</xdr:row>
      <xdr:rowOff>81137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252357-1BE5-4F44-A615-41A2259D27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1521" y="88963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BEF1DB-9596-4A75-B4D1-8E51989A7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D37700C-72B7-4645-AF91-5AE1F2159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EE2B99-FE8D-45AD-BE0E-49AF4CBE59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28575</xdr:rowOff>
    </xdr:from>
    <xdr:to>
      <xdr:col>4</xdr:col>
      <xdr:colOff>1257299</xdr:colOff>
      <xdr:row>35</xdr:row>
      <xdr:rowOff>49078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6258F8-1B63-4521-87B1-3CE453AF9A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79629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0A3CA46-2C8A-421E-ADC3-7CF2935115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A1EC6A5-8882-4F47-BF6D-6BABEDE7A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2</xdr:col>
      <xdr:colOff>47624</xdr:colOff>
      <xdr:row>29</xdr:row>
      <xdr:rowOff>95249</xdr:rowOff>
    </xdr:from>
    <xdr:to>
      <xdr:col>3</xdr:col>
      <xdr:colOff>790574</xdr:colOff>
      <xdr:row>36</xdr:row>
      <xdr:rowOff>66674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7BA95DE8-025B-4459-838F-21D90BAC2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4" y="7667624"/>
          <a:ext cx="1247775" cy="1247775"/>
        </a:xfrm>
        <a:prstGeom prst="rect">
          <a:avLst/>
        </a:prstGeom>
      </xdr:spPr>
    </xdr:pic>
    <xdr:clientData/>
  </xdr:twoCellAnchor>
  <xdr:twoCellAnchor editAs="oneCell">
    <xdr:from>
      <xdr:col>10</xdr:col>
      <xdr:colOff>66675</xdr:colOff>
      <xdr:row>0</xdr:row>
      <xdr:rowOff>171450</xdr:rowOff>
    </xdr:from>
    <xdr:to>
      <xdr:col>14</xdr:col>
      <xdr:colOff>933945</xdr:colOff>
      <xdr:row>11</xdr:row>
      <xdr:rowOff>124309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8746C96-57C2-6606-D51C-81A35D08F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15225" y="171450"/>
          <a:ext cx="3543795" cy="346758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E7F9A43-D6EE-4F82-8789-41009D1DD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677984</xdr:colOff>
      <xdr:row>29</xdr:row>
      <xdr:rowOff>82091</xdr:rowOff>
    </xdr:from>
    <xdr:to>
      <xdr:col>4</xdr:col>
      <xdr:colOff>40837</xdr:colOff>
      <xdr:row>36</xdr:row>
      <xdr:rowOff>21840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B4F82A-2839-4E1E-9725-9675D0BE80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6084" y="7654466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623F725-54CA-42AF-BA4D-BD9C413C1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0932E48-C8EE-4AB0-80DA-408ED48F0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FA392CD9-FDA6-44EE-A1FF-EFE46C4FA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723899</xdr:colOff>
      <xdr:row>44</xdr:row>
      <xdr:rowOff>76200</xdr:rowOff>
    </xdr:from>
    <xdr:to>
      <xdr:col>3</xdr:col>
      <xdr:colOff>380709</xdr:colOff>
      <xdr:row>48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E48646F-FB8C-4514-8F04-4EE97C4C88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761999" y="104108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31</xdr:row>
      <xdr:rowOff>38100</xdr:rowOff>
    </xdr:from>
    <xdr:to>
      <xdr:col>4</xdr:col>
      <xdr:colOff>1240542</xdr:colOff>
      <xdr:row>34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47D9F13-A4C1-4A6E-9BC8-CC41521A85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1850" y="7972425"/>
          <a:ext cx="935742" cy="6858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6EB0801-F70E-4C2E-902F-B71649B67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4</xdr:col>
      <xdr:colOff>579549</xdr:colOff>
      <xdr:row>45</xdr:row>
      <xdr:rowOff>106596</xdr:rowOff>
    </xdr:from>
    <xdr:to>
      <xdr:col>9</xdr:col>
      <xdr:colOff>162038</xdr:colOff>
      <xdr:row>52</xdr:row>
      <xdr:rowOff>21142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87015-3BA1-485D-986F-E292DF3918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3659299" y="10552346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EA421C-9A0B-4991-939E-2FC9F3D32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D75D1-5626-4179-981C-D24170FFD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310091</xdr:colOff>
      <xdr:row>31</xdr:row>
      <xdr:rowOff>38099</xdr:rowOff>
    </xdr:from>
    <xdr:to>
      <xdr:col>4</xdr:col>
      <xdr:colOff>1338790</xdr:colOff>
      <xdr:row>35</xdr:row>
      <xdr:rowOff>57544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6DF893-C1F5-41B5-82F3-577FFA4DB9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9841" y="7901516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6EB5263-9303-4A79-832E-39E8548D0E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115358</xdr:colOff>
      <xdr:row>44</xdr:row>
      <xdr:rowOff>80160</xdr:rowOff>
    </xdr:from>
    <xdr:to>
      <xdr:col>3</xdr:col>
      <xdr:colOff>612775</xdr:colOff>
      <xdr:row>52</xdr:row>
      <xdr:rowOff>53035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A7AC1-673B-46E8-B4B3-1E6890C6F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558" y="10414785"/>
          <a:ext cx="1002242" cy="1430200"/>
        </a:xfrm>
        <a:prstGeom prst="rect">
          <a:avLst/>
        </a:prstGeom>
      </xdr:spPr>
    </xdr:pic>
    <xdr:clientData/>
  </xdr:twoCellAnchor>
  <xdr:twoCellAnchor editAs="oneCell">
    <xdr:from>
      <xdr:col>2</xdr:col>
      <xdr:colOff>486832</xdr:colOff>
      <xdr:row>25</xdr:row>
      <xdr:rowOff>42333</xdr:rowOff>
    </xdr:from>
    <xdr:to>
      <xdr:col>3</xdr:col>
      <xdr:colOff>1226607</xdr:colOff>
      <xdr:row>32</xdr:row>
      <xdr:rowOff>157692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35286286-3B63-48CA-878F-5B846D2BF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499" y="6953250"/>
          <a:ext cx="1247775" cy="124777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F8F6F82-8825-4B8E-BD48-BC20D79E1B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219713</xdr:colOff>
      <xdr:row>32</xdr:row>
      <xdr:rowOff>53681</xdr:rowOff>
    </xdr:from>
    <xdr:to>
      <xdr:col>4</xdr:col>
      <xdr:colOff>310202</xdr:colOff>
      <xdr:row>38</xdr:row>
      <xdr:rowOff>137560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A09032-6FF1-4464-8CE1-268BEAD499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1066380" y="8097014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2D48FC-F875-4F2C-B78F-D88AAD5B2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E1A6FF-A781-45E9-85DC-D7F7C01CE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267757</xdr:colOff>
      <xdr:row>30</xdr:row>
      <xdr:rowOff>165100</xdr:rowOff>
    </xdr:from>
    <xdr:to>
      <xdr:col>4</xdr:col>
      <xdr:colOff>1296456</xdr:colOff>
      <xdr:row>35</xdr:row>
      <xdr:rowOff>4628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94DEDD-C9AE-46F3-B5EA-8ED29230C0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7507" y="7848600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349A5E3-F112-45A6-BCAB-2118777B87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115358</xdr:colOff>
      <xdr:row>44</xdr:row>
      <xdr:rowOff>80160</xdr:rowOff>
    </xdr:from>
    <xdr:to>
      <xdr:col>3</xdr:col>
      <xdr:colOff>612775</xdr:colOff>
      <xdr:row>52</xdr:row>
      <xdr:rowOff>53035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2BA82EF-A319-4E00-9268-A2436AE32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558" y="10414785"/>
          <a:ext cx="1002242" cy="1430200"/>
        </a:xfrm>
        <a:prstGeom prst="rect">
          <a:avLst/>
        </a:prstGeom>
      </xdr:spPr>
    </xdr:pic>
    <xdr:clientData/>
  </xdr:twoCellAnchor>
  <xdr:twoCellAnchor editAs="oneCell">
    <xdr:from>
      <xdr:col>2</xdr:col>
      <xdr:colOff>201084</xdr:colOff>
      <xdr:row>25</xdr:row>
      <xdr:rowOff>0</xdr:rowOff>
    </xdr:from>
    <xdr:to>
      <xdr:col>3</xdr:col>
      <xdr:colOff>1005417</xdr:colOff>
      <xdr:row>32</xdr:row>
      <xdr:rowOff>179917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78001547-683D-4381-957B-9DF4B3CD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1" y="6910917"/>
          <a:ext cx="1312333" cy="1312333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34E4307-B42C-4631-9AFE-77F1E67C9E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3</xdr:col>
      <xdr:colOff>1278049</xdr:colOff>
      <xdr:row>36</xdr:row>
      <xdr:rowOff>170100</xdr:rowOff>
    </xdr:from>
    <xdr:to>
      <xdr:col>5</xdr:col>
      <xdr:colOff>289038</xdr:colOff>
      <xdr:row>43</xdr:row>
      <xdr:rowOff>42313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6907E5-5DF6-4713-B7A0-B32CA7786E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2632716" y="8943683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6210F93-51DF-465B-B1C3-138EC80D5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762BA5-B080-45D0-AE69-1AE1F7021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278341</xdr:colOff>
      <xdr:row>31</xdr:row>
      <xdr:rowOff>27516</xdr:rowOff>
    </xdr:from>
    <xdr:to>
      <xdr:col>4</xdr:col>
      <xdr:colOff>1307040</xdr:colOff>
      <xdr:row>35</xdr:row>
      <xdr:rowOff>46961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939C354-29D8-4C12-9421-C77991FA55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8091" y="7890933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6ED0D1-97A6-4B35-93C7-F1AB8F10AE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115358</xdr:colOff>
      <xdr:row>44</xdr:row>
      <xdr:rowOff>80160</xdr:rowOff>
    </xdr:from>
    <xdr:to>
      <xdr:col>3</xdr:col>
      <xdr:colOff>612775</xdr:colOff>
      <xdr:row>52</xdr:row>
      <xdr:rowOff>53035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BBE2767-0820-4330-AEFD-BEC08F64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558" y="10414785"/>
          <a:ext cx="1002242" cy="1430200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</xdr:colOff>
      <xdr:row>24</xdr:row>
      <xdr:rowOff>190500</xdr:rowOff>
    </xdr:from>
    <xdr:to>
      <xdr:col>3</xdr:col>
      <xdr:colOff>846666</xdr:colOff>
      <xdr:row>32</xdr:row>
      <xdr:rowOff>127000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F34F4827-3F0F-4EBA-8363-DF8684BBE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9000" y="6858000"/>
          <a:ext cx="1312333" cy="1312333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35500CF-CB0E-4BDC-BA69-EF8327074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9520</xdr:colOff>
      <xdr:row>42</xdr:row>
      <xdr:rowOff>38101</xdr:rowOff>
    </xdr:from>
    <xdr:to>
      <xdr:col>4</xdr:col>
      <xdr:colOff>57145</xdr:colOff>
      <xdr:row>48</xdr:row>
      <xdr:rowOff>100187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9BA4DE-3BFC-47A6-9ACF-2BF6C5CADA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47720" y="10010776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37A56A4-F7FE-4B19-971A-DDDAFC807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7D6D2D-9D7D-4D36-ABD6-0241C003F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7511561-0DDC-4BB5-BCF2-14E4E1AC54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447675</xdr:colOff>
      <xdr:row>43</xdr:row>
      <xdr:rowOff>0</xdr:rowOff>
    </xdr:from>
    <xdr:to>
      <xdr:col>4</xdr:col>
      <xdr:colOff>1476374</xdr:colOff>
      <xdr:row>47</xdr:row>
      <xdr:rowOff>20503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C784D1-7FBD-4378-A7CF-EF84A36FB6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4725" y="101536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D8D681D-7EC8-4636-BBC0-743B0BD6BD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0F8886D-565E-48CB-BA19-AAC31ED1D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</xdr:col>
      <xdr:colOff>800099</xdr:colOff>
      <xdr:row>29</xdr:row>
      <xdr:rowOff>38099</xdr:rowOff>
    </xdr:from>
    <xdr:to>
      <xdr:col>3</xdr:col>
      <xdr:colOff>742949</xdr:colOff>
      <xdr:row>36</xdr:row>
      <xdr:rowOff>9524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47E2B004-A537-4F3A-840E-9E5D21508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199" y="7610474"/>
          <a:ext cx="1247775" cy="12477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0</xdr:row>
      <xdr:rowOff>9525</xdr:rowOff>
    </xdr:from>
    <xdr:to>
      <xdr:col>14</xdr:col>
      <xdr:colOff>733882</xdr:colOff>
      <xdr:row>5</xdr:row>
      <xdr:rowOff>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1DB27F-429B-6820-68B8-2E2B37658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81900" y="9525"/>
          <a:ext cx="3277057" cy="2276793"/>
        </a:xfrm>
        <a:prstGeom prst="rect">
          <a:avLst/>
        </a:prstGeom>
      </xdr:spPr>
    </xdr:pic>
    <xdr:clientData/>
  </xdr:twoCellAnchor>
  <xdr:twoCellAnchor editAs="oneCell">
    <xdr:from>
      <xdr:col>10</xdr:col>
      <xdr:colOff>142875</xdr:colOff>
      <xdr:row>5</xdr:row>
      <xdr:rowOff>0</xdr:rowOff>
    </xdr:from>
    <xdr:to>
      <xdr:col>13</xdr:col>
      <xdr:colOff>428887</xdr:colOff>
      <xdr:row>11</xdr:row>
      <xdr:rowOff>171645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87E38BD-AE5E-4B84-74F0-43DA0D745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591425" y="2286000"/>
          <a:ext cx="1876687" cy="140037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0E854E4-3DC6-4F94-84E4-3E4D932EA5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619120</xdr:colOff>
      <xdr:row>43</xdr:row>
      <xdr:rowOff>1</xdr:rowOff>
    </xdr:from>
    <xdr:to>
      <xdr:col>3</xdr:col>
      <xdr:colOff>1590670</xdr:colOff>
      <xdr:row>49</xdr:row>
      <xdr:rowOff>62087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493B51-9122-4667-AA4F-FC23C20DEF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57220" y="101536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74407B-B760-4E64-91D6-7BF05DBDD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21D99E-A819-4AAA-8BAD-8ADC85B2C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32484C6-2F45-4110-96BC-F56486B034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44</xdr:row>
      <xdr:rowOff>95250</xdr:rowOff>
    </xdr:from>
    <xdr:to>
      <xdr:col>4</xdr:col>
      <xdr:colOff>1114424</xdr:colOff>
      <xdr:row>48</xdr:row>
      <xdr:rowOff>115753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F7485F5-EF41-4FC0-9628-CDD172939D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52775" y="104298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7560081-532B-4398-83D4-5C21E117D8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8368E26-907B-4488-9826-245163BE3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123824</xdr:colOff>
      <xdr:row>25</xdr:row>
      <xdr:rowOff>19049</xdr:rowOff>
    </xdr:from>
    <xdr:to>
      <xdr:col>3</xdr:col>
      <xdr:colOff>866774</xdr:colOff>
      <xdr:row>32</xdr:row>
      <xdr:rowOff>133349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71FE2199-0D34-4D69-B587-FF361256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4" y="7000874"/>
          <a:ext cx="1247775" cy="124777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5B08A89-C44A-4525-B5F8-7A9CB5DD7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516058</xdr:colOff>
      <xdr:row>43</xdr:row>
      <xdr:rowOff>34466</xdr:rowOff>
    </xdr:from>
    <xdr:to>
      <xdr:col>3</xdr:col>
      <xdr:colOff>1602936</xdr:colOff>
      <xdr:row>49</xdr:row>
      <xdr:rowOff>155190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ECE2E9-23CF-4684-9A2C-38727B6F30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54158" y="10188116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1DF69A4-83D3-48C1-AF07-535D894ED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6D9774-213F-452C-A0FB-7C873AAA3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0C49C871-41E8-4D46-AE93-CAC71E2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723899</xdr:colOff>
      <xdr:row>44</xdr:row>
      <xdr:rowOff>76200</xdr:rowOff>
    </xdr:from>
    <xdr:to>
      <xdr:col>3</xdr:col>
      <xdr:colOff>380709</xdr:colOff>
      <xdr:row>48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2E26ED-E8FD-4E88-AFAB-BC4959377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761999" y="104108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3</xdr:col>
      <xdr:colOff>1543050</xdr:colOff>
      <xdr:row>43</xdr:row>
      <xdr:rowOff>95250</xdr:rowOff>
    </xdr:from>
    <xdr:to>
      <xdr:col>4</xdr:col>
      <xdr:colOff>754767</xdr:colOff>
      <xdr:row>47</xdr:row>
      <xdr:rowOff>47625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3625CBC-B48E-4C41-BA90-C18B6F6FD8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886075" y="10248900"/>
          <a:ext cx="935742" cy="6858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61BDDB1-A169-4B6A-ADF6-9F65FC37D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738299</xdr:colOff>
      <xdr:row>29</xdr:row>
      <xdr:rowOff>117180</xdr:rowOff>
    </xdr:from>
    <xdr:to>
      <xdr:col>4</xdr:col>
      <xdr:colOff>24454</xdr:colOff>
      <xdr:row>36</xdr:row>
      <xdr:rowOff>21143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CC7DB9-33AA-4449-8616-8A0026D05C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0632" y="7620763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91346BA-0E5B-46BD-9C3B-150A1FDBF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9BE89A-74F0-4A81-8417-B15A77751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363008</xdr:colOff>
      <xdr:row>31</xdr:row>
      <xdr:rowOff>122766</xdr:rowOff>
    </xdr:from>
    <xdr:to>
      <xdr:col>4</xdr:col>
      <xdr:colOff>1391707</xdr:colOff>
      <xdr:row>35</xdr:row>
      <xdr:rowOff>142211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D79DCC-39FD-4C9A-BFE4-CDB2392B37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2758" y="7986183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8B5DD92-7EB1-4B83-8F99-1AF1054282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115358</xdr:colOff>
      <xdr:row>44</xdr:row>
      <xdr:rowOff>80160</xdr:rowOff>
    </xdr:from>
    <xdr:to>
      <xdr:col>3</xdr:col>
      <xdr:colOff>612775</xdr:colOff>
      <xdr:row>52</xdr:row>
      <xdr:rowOff>53035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0A9C64-0163-45AC-B3F9-982A85EE8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" y="10335410"/>
          <a:ext cx="1005417" cy="1422792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A56494E-DCCD-4923-A3CA-351EF4C2DB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668457</xdr:colOff>
      <xdr:row>35</xdr:row>
      <xdr:rowOff>129716</xdr:rowOff>
    </xdr:from>
    <xdr:to>
      <xdr:col>4</xdr:col>
      <xdr:colOff>31310</xdr:colOff>
      <xdr:row>42</xdr:row>
      <xdr:rowOff>40890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56C790-5CBA-440F-871F-D8A2757E5D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6557" y="8797466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F75744-E3F0-437A-9180-8D5505934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900FB2-2F7A-4178-B9A4-0870E264B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50B1E469-2D0A-4B3A-BB35-68AE9D52E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723899</xdr:colOff>
      <xdr:row>44</xdr:row>
      <xdr:rowOff>76200</xdr:rowOff>
    </xdr:from>
    <xdr:to>
      <xdr:col>3</xdr:col>
      <xdr:colOff>380709</xdr:colOff>
      <xdr:row>48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84A72A-B9FD-480A-A6A8-49155CE8EF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761999" y="104108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3</xdr:col>
      <xdr:colOff>1543050</xdr:colOff>
      <xdr:row>43</xdr:row>
      <xdr:rowOff>95250</xdr:rowOff>
    </xdr:from>
    <xdr:to>
      <xdr:col>4</xdr:col>
      <xdr:colOff>754767</xdr:colOff>
      <xdr:row>47</xdr:row>
      <xdr:rowOff>47625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5D0F11A-3EB9-4533-B15D-DAEEDF4B54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886075" y="10248900"/>
          <a:ext cx="935742" cy="685800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0</xdr:row>
      <xdr:rowOff>0</xdr:rowOff>
    </xdr:from>
    <xdr:to>
      <xdr:col>14</xdr:col>
      <xdr:colOff>610031</xdr:colOff>
      <xdr:row>21</xdr:row>
      <xdr:rowOff>124679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CF351E8-26A9-4538-A64D-8E551B274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48575" y="0"/>
          <a:ext cx="3086531" cy="6115904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7351AB0-F204-4494-ACFD-F3E1E7E4AD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748880</xdr:colOff>
      <xdr:row>35</xdr:row>
      <xdr:rowOff>148931</xdr:rowOff>
    </xdr:from>
    <xdr:to>
      <xdr:col>4</xdr:col>
      <xdr:colOff>35035</xdr:colOff>
      <xdr:row>42</xdr:row>
      <xdr:rowOff>21144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050A46-1055-4DEA-9363-FCC5B7EAFB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1213" y="8742598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28C5D2-1653-45FE-A14A-E9D0B80DE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4A82689-841D-4620-AE77-D2A648940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225425</xdr:colOff>
      <xdr:row>31</xdr:row>
      <xdr:rowOff>101599</xdr:rowOff>
    </xdr:from>
    <xdr:to>
      <xdr:col>4</xdr:col>
      <xdr:colOff>1254124</xdr:colOff>
      <xdr:row>35</xdr:row>
      <xdr:rowOff>121044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5E750D4-0B7E-4622-B81E-2F079CF52B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7965016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AA72530-BF1A-4FB2-803F-79DE262195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29</xdr:row>
      <xdr:rowOff>27243</xdr:rowOff>
    </xdr:from>
    <xdr:to>
      <xdr:col>3</xdr:col>
      <xdr:colOff>697442</xdr:colOff>
      <xdr:row>37</xdr:row>
      <xdr:rowOff>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16C2EB-388C-4A98-8123-FD7B02E97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7599618"/>
          <a:ext cx="1002242" cy="143020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2E84031-218C-469E-8546-05F994B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29212</xdr:colOff>
      <xdr:row>36</xdr:row>
      <xdr:rowOff>32514</xdr:rowOff>
    </xdr:from>
    <xdr:to>
      <xdr:col>4</xdr:col>
      <xdr:colOff>119701</xdr:colOff>
      <xdr:row>42</xdr:row>
      <xdr:rowOff>84643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561850-1798-4E24-9F12-1F77BCC7A3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75879" y="8806097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9235295-3354-4B05-B048-643D48DB3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456AA-00C7-47AC-B4C1-07A87A68D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193675</xdr:colOff>
      <xdr:row>31</xdr:row>
      <xdr:rowOff>48682</xdr:rowOff>
    </xdr:from>
    <xdr:to>
      <xdr:col>4</xdr:col>
      <xdr:colOff>1222374</xdr:colOff>
      <xdr:row>35</xdr:row>
      <xdr:rowOff>68127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92C67E2-2053-4B68-A277-8B31D58E2F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3425" y="791209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A92B3FD-F9F9-4AE9-9BFB-F9203AA288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29</xdr:row>
      <xdr:rowOff>27243</xdr:rowOff>
    </xdr:from>
    <xdr:to>
      <xdr:col>3</xdr:col>
      <xdr:colOff>697442</xdr:colOff>
      <xdr:row>37</xdr:row>
      <xdr:rowOff>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61D56BC-CA42-426C-91E4-C70F343AF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75996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96309</xdr:colOff>
      <xdr:row>0</xdr:row>
      <xdr:rowOff>695325</xdr:rowOff>
    </xdr:from>
    <xdr:to>
      <xdr:col>18</xdr:col>
      <xdr:colOff>420991</xdr:colOff>
      <xdr:row>17</xdr:row>
      <xdr:rowOff>37647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E94A789-C998-420E-B240-564E4911A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57559" y="695325"/>
          <a:ext cx="5976182" cy="430590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503A3CB-B799-4E58-9BF4-3BD0BE207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285873</xdr:colOff>
      <xdr:row>40</xdr:row>
      <xdr:rowOff>161697</xdr:rowOff>
    </xdr:from>
    <xdr:to>
      <xdr:col>3</xdr:col>
      <xdr:colOff>1462698</xdr:colOff>
      <xdr:row>47</xdr:row>
      <xdr:rowOff>120985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EECBC5-54F8-49F3-B04E-BFAABE189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321592" y="9770041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1B6626-59A8-4045-B52E-167B496CE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5447909-5964-4E81-841B-FE84E9371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5819</xdr:colOff>
      <xdr:row>43</xdr:row>
      <xdr:rowOff>47889</xdr:rowOff>
    </xdr:from>
    <xdr:to>
      <xdr:col>4</xdr:col>
      <xdr:colOff>1137563</xdr:colOff>
      <xdr:row>47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39A20B0-B0E4-431F-8999-BD567E18A2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65725" y="10227733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11</xdr:col>
      <xdr:colOff>345282</xdr:colOff>
      <xdr:row>32</xdr:row>
      <xdr:rowOff>184406</xdr:rowOff>
    </xdr:from>
    <xdr:to>
      <xdr:col>12</xdr:col>
      <xdr:colOff>604574</xdr:colOff>
      <xdr:row>40</xdr:row>
      <xdr:rowOff>134791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1D7EA6D-DFED-4F80-9E15-3EFCA5816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3907" y="8299706"/>
          <a:ext cx="992717" cy="142676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251B118-3E6D-4381-9505-6564386F8D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29212</xdr:colOff>
      <xdr:row>36</xdr:row>
      <xdr:rowOff>32514</xdr:rowOff>
    </xdr:from>
    <xdr:to>
      <xdr:col>4</xdr:col>
      <xdr:colOff>119701</xdr:colOff>
      <xdr:row>42</xdr:row>
      <xdr:rowOff>84643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31395-9A98-4F9F-8207-5244204753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75879" y="8806097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B67A23-2D0D-44E2-9889-5559FAB41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8E4D28D-DDE5-49EF-B3C0-21602BFA8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193675</xdr:colOff>
      <xdr:row>31</xdr:row>
      <xdr:rowOff>48682</xdr:rowOff>
    </xdr:from>
    <xdr:to>
      <xdr:col>4</xdr:col>
      <xdr:colOff>1222374</xdr:colOff>
      <xdr:row>35</xdr:row>
      <xdr:rowOff>68127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D225069-75DD-465A-8974-64BAFF4275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3425" y="791209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671AF49-C7DC-4E06-B651-966A36C258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29</xdr:row>
      <xdr:rowOff>27243</xdr:rowOff>
    </xdr:from>
    <xdr:to>
      <xdr:col>3</xdr:col>
      <xdr:colOff>697442</xdr:colOff>
      <xdr:row>37</xdr:row>
      <xdr:rowOff>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7CB372-95B3-4CB5-B990-15FB9B2E3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75996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13</xdr:col>
      <xdr:colOff>932392</xdr:colOff>
      <xdr:row>0</xdr:row>
      <xdr:rowOff>60325</xdr:rowOff>
    </xdr:from>
    <xdr:to>
      <xdr:col>22</xdr:col>
      <xdr:colOff>389241</xdr:colOff>
      <xdr:row>14</xdr:row>
      <xdr:rowOff>132897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4E551C1-1109-16BD-467B-65A4E1E07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981142" y="60325"/>
          <a:ext cx="5976182" cy="4305905"/>
        </a:xfrm>
        <a:prstGeom prst="rect">
          <a:avLst/>
        </a:prstGeom>
      </xdr:spPr>
    </xdr:pic>
    <xdr:clientData/>
  </xdr:twoCellAnchor>
  <xdr:twoCellAnchor editAs="oneCell">
    <xdr:from>
      <xdr:col>10</xdr:col>
      <xdr:colOff>105833</xdr:colOff>
      <xdr:row>0</xdr:row>
      <xdr:rowOff>730249</xdr:rowOff>
    </xdr:from>
    <xdr:to>
      <xdr:col>21</xdr:col>
      <xdr:colOff>138633</xdr:colOff>
      <xdr:row>14</xdr:row>
      <xdr:rowOff>212184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3DA03F7-D565-60B4-1A35-82A0E20C5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67083" y="730249"/>
          <a:ext cx="7525800" cy="3715268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DE100D8-F19A-4B95-B3E7-BF5C32753A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685799</xdr:colOff>
      <xdr:row>36</xdr:row>
      <xdr:rowOff>57146</xdr:rowOff>
    </xdr:from>
    <xdr:to>
      <xdr:col>3</xdr:col>
      <xdr:colOff>1657349</xdr:colOff>
      <xdr:row>42</xdr:row>
      <xdr:rowOff>90657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AA4F38-CA15-4BB9-973D-F228EFEFAE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3899" y="890587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4720CD8-BB0E-4A1A-B41A-26A589F89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45FAEEF-42C0-40B5-B7B6-93C891309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221873</xdr:colOff>
      <xdr:row>31</xdr:row>
      <xdr:rowOff>38100</xdr:rowOff>
    </xdr:from>
    <xdr:to>
      <xdr:col>3</xdr:col>
      <xdr:colOff>662546</xdr:colOff>
      <xdr:row>34</xdr:row>
      <xdr:rowOff>175682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F4CACE-19BF-4A48-9155-7078369167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60073" y="7972425"/>
          <a:ext cx="945498" cy="690032"/>
        </a:xfrm>
        <a:prstGeom prst="rect">
          <a:avLst/>
        </a:prstGeom>
      </xdr:spPr>
    </xdr:pic>
    <xdr:clientData/>
  </xdr:twoCellAnchor>
  <xdr:twoCellAnchor editAs="oneCell">
    <xdr:from>
      <xdr:col>4</xdr:col>
      <xdr:colOff>241287</xdr:colOff>
      <xdr:row>31</xdr:row>
      <xdr:rowOff>38100</xdr:rowOff>
    </xdr:from>
    <xdr:to>
      <xdr:col>4</xdr:col>
      <xdr:colOff>1291196</xdr:colOff>
      <xdr:row>35</xdr:row>
      <xdr:rowOff>70907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B9173FD-975D-4A76-9A47-3A27568FD0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8337" y="7972425"/>
          <a:ext cx="1049909" cy="766232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B4B17BA-3A28-469A-A37C-CD98827AC4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581843</xdr:colOff>
      <xdr:row>35</xdr:row>
      <xdr:rowOff>19451</xdr:rowOff>
    </xdr:from>
    <xdr:to>
      <xdr:col>4</xdr:col>
      <xdr:colOff>269458</xdr:colOff>
      <xdr:row>42</xdr:row>
      <xdr:rowOff>101017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8FD16B-3DDB-458D-81B6-F3CAE7257D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24176" y="8613118"/>
          <a:ext cx="2725032" cy="1383316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F906B6-F437-45A8-8BE2-81681084B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7431F7-E6D9-462D-91D2-3E0770F08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220400</xdr:colOff>
      <xdr:row>31</xdr:row>
      <xdr:rowOff>80962</xdr:rowOff>
    </xdr:from>
    <xdr:to>
      <xdr:col>4</xdr:col>
      <xdr:colOff>1342801</xdr:colOff>
      <xdr:row>35</xdr:row>
      <xdr:rowOff>169333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85960F-C55A-45F1-AE67-79C1C7DBFD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0150" y="7944379"/>
          <a:ext cx="1122401" cy="818621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6075DB-64D5-4390-80D7-796DCBCD3C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169333</xdr:colOff>
      <xdr:row>29</xdr:row>
      <xdr:rowOff>60053</xdr:rowOff>
    </xdr:from>
    <xdr:to>
      <xdr:col>3</xdr:col>
      <xdr:colOff>666750</xdr:colOff>
      <xdr:row>37</xdr:row>
      <xdr:rowOff>32928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FCEA4B3-90AB-4026-BBC3-7F11BB1F3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7533" y="7632428"/>
          <a:ext cx="1002242" cy="143020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79D5069-EFFF-4F68-8E88-2CE5A7016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624177</xdr:colOff>
      <xdr:row>35</xdr:row>
      <xdr:rowOff>40616</xdr:rowOff>
    </xdr:from>
    <xdr:to>
      <xdr:col>4</xdr:col>
      <xdr:colOff>311792</xdr:colOff>
      <xdr:row>42</xdr:row>
      <xdr:rowOff>122182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A0756C-B9EC-46AA-9CF8-14E398E8B6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66510" y="8634283"/>
          <a:ext cx="2725032" cy="1383316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00E390-847F-43D6-9AF1-B9A607162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2F3364-2D62-479C-BC33-9C42F90C4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199233</xdr:colOff>
      <xdr:row>31</xdr:row>
      <xdr:rowOff>17462</xdr:rowOff>
    </xdr:from>
    <xdr:to>
      <xdr:col>4</xdr:col>
      <xdr:colOff>1321634</xdr:colOff>
      <xdr:row>35</xdr:row>
      <xdr:rowOff>105833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62BC21-35D1-4A6A-BADC-37BBB3D658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8983" y="7880879"/>
          <a:ext cx="1122401" cy="818621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42A4F97-37D8-4D46-848F-C3359CC00E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169333</xdr:colOff>
      <xdr:row>29</xdr:row>
      <xdr:rowOff>60053</xdr:rowOff>
    </xdr:from>
    <xdr:to>
      <xdr:col>3</xdr:col>
      <xdr:colOff>666750</xdr:colOff>
      <xdr:row>37</xdr:row>
      <xdr:rowOff>32928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F6E6E7-DD0B-4F0F-85F9-381C7F0E8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7533" y="7632428"/>
          <a:ext cx="1002242" cy="143020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C948070-2386-45C3-9F59-13688F7BC4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691086</xdr:colOff>
      <xdr:row>35</xdr:row>
      <xdr:rowOff>101021</xdr:rowOff>
    </xdr:from>
    <xdr:to>
      <xdr:col>4</xdr:col>
      <xdr:colOff>225585</xdr:colOff>
      <xdr:row>42</xdr:row>
      <xdr:rowOff>99720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6D7A48-8ACD-4E32-8F54-B3794224BD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3419" y="8694688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03E609-40C1-4ED7-913B-006E905F0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88B83C-EE54-4248-ACFD-332DF5AEE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CAD688EC-31A5-406F-8A0D-1B3AE6850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226482</xdr:colOff>
      <xdr:row>31</xdr:row>
      <xdr:rowOff>46565</xdr:rowOff>
    </xdr:from>
    <xdr:to>
      <xdr:col>4</xdr:col>
      <xdr:colOff>1294467</xdr:colOff>
      <xdr:row>35</xdr:row>
      <xdr:rowOff>95248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42818A0-A62A-4E9E-BC1F-6E11F380A8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6232" y="7909982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0D884A3-F64A-4E3F-BDCE-2A2E012AEA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E46314E-9CE3-4AB2-BAA4-E98A643B6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3AE9A1C-ADC6-454F-BB70-AAA3E9DD1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657275</xdr:colOff>
      <xdr:row>35</xdr:row>
      <xdr:rowOff>126450</xdr:rowOff>
    </xdr:from>
    <xdr:to>
      <xdr:col>4</xdr:col>
      <xdr:colOff>122661</xdr:colOff>
      <xdr:row>42</xdr:row>
      <xdr:rowOff>90789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B15D99-BFDB-492E-8C27-F32992B8DD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9608" y="8720117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62439AB-635E-45D4-9DFE-9509B738C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6D6B6388-0219-4B96-A3C5-DAB485F77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363008</xdr:colOff>
      <xdr:row>31</xdr:row>
      <xdr:rowOff>89959</xdr:rowOff>
    </xdr:from>
    <xdr:to>
      <xdr:col>3</xdr:col>
      <xdr:colOff>753533</xdr:colOff>
      <xdr:row>35</xdr:row>
      <xdr:rowOff>12731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93A3A1-0196-42F1-9F4E-A16909FCBF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209675" y="7953376"/>
          <a:ext cx="898525" cy="653022"/>
        </a:xfrm>
        <a:prstGeom prst="rect">
          <a:avLst/>
        </a:prstGeom>
      </xdr:spPr>
    </xdr:pic>
    <xdr:clientData/>
  </xdr:twoCellAnchor>
  <xdr:twoCellAnchor editAs="oneCell">
    <xdr:from>
      <xdr:col>4</xdr:col>
      <xdr:colOff>383118</xdr:colOff>
      <xdr:row>31</xdr:row>
      <xdr:rowOff>92075</xdr:rowOff>
    </xdr:from>
    <xdr:to>
      <xdr:col>4</xdr:col>
      <xdr:colOff>1278468</xdr:colOff>
      <xdr:row>35</xdr:row>
      <xdr:rowOff>14847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E682E0E-5B65-498F-AE49-C554B8DC0F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2868" y="7955492"/>
          <a:ext cx="895350" cy="653022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C759B43-9503-4379-BBCC-12116A2382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29213</xdr:colOff>
      <xdr:row>42</xdr:row>
      <xdr:rowOff>74846</xdr:rowOff>
    </xdr:from>
    <xdr:to>
      <xdr:col>4</xdr:col>
      <xdr:colOff>119702</xdr:colOff>
      <xdr:row>48</xdr:row>
      <xdr:rowOff>158726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F722CF-46B7-41CC-B376-7304B1510D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67413" y="10047521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3B6E68-E2A8-41A3-9B06-69011A3DD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BB0406-7B8F-4962-8142-19755B82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47</xdr:row>
      <xdr:rowOff>133350</xdr:rowOff>
    </xdr:from>
    <xdr:to>
      <xdr:col>4</xdr:col>
      <xdr:colOff>1285874</xdr:colOff>
      <xdr:row>51</xdr:row>
      <xdr:rowOff>163378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29CB79-C1FB-4C60-A80D-1E2B69E171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4225" y="11020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F13306E-CE2B-4D75-B8B4-AA5880CFA3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29</xdr:row>
      <xdr:rowOff>27243</xdr:rowOff>
    </xdr:from>
    <xdr:to>
      <xdr:col>3</xdr:col>
      <xdr:colOff>697442</xdr:colOff>
      <xdr:row>36</xdr:row>
      <xdr:rowOff>180035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C0BB4F-6967-4370-9E34-7435B39AA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75996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12</xdr:col>
      <xdr:colOff>523875</xdr:colOff>
      <xdr:row>0</xdr:row>
      <xdr:rowOff>28575</xdr:rowOff>
    </xdr:from>
    <xdr:to>
      <xdr:col>19</xdr:col>
      <xdr:colOff>353136</xdr:colOff>
      <xdr:row>13</xdr:row>
      <xdr:rowOff>200609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A36D4C6-4F22-6FCC-40EF-7265067B1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53500" y="28575"/>
          <a:ext cx="5096586" cy="4182059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0</xdr:row>
      <xdr:rowOff>619125</xdr:rowOff>
    </xdr:from>
    <xdr:to>
      <xdr:col>22</xdr:col>
      <xdr:colOff>315486</xdr:colOff>
      <xdr:row>15</xdr:row>
      <xdr:rowOff>57700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26E14CE-E34B-966E-7BDD-6D81E8212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24750" y="619125"/>
          <a:ext cx="8316486" cy="394390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189FD7B-73B0-4800-A52D-387F78201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772161</xdr:colOff>
      <xdr:row>29</xdr:row>
      <xdr:rowOff>93897</xdr:rowOff>
    </xdr:from>
    <xdr:to>
      <xdr:col>4</xdr:col>
      <xdr:colOff>62550</xdr:colOff>
      <xdr:row>35</xdr:row>
      <xdr:rowOff>177777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0F818B-A37E-46AE-A0B9-60F6FDF855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10261" y="7666272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96915C2-A075-4168-BAB6-5A198BE84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48B925-4FCB-4742-BB0A-B6C4818FD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31</xdr:row>
      <xdr:rowOff>28575</xdr:rowOff>
    </xdr:from>
    <xdr:to>
      <xdr:col>4</xdr:col>
      <xdr:colOff>1323974</xdr:colOff>
      <xdr:row>35</xdr:row>
      <xdr:rowOff>49078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3335B4F-FC21-4EDF-BC2D-C64A88F02B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5" y="79629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B40E3BD-6BDF-4BD4-8DE0-43F30E56C6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685800</xdr:colOff>
      <xdr:row>43</xdr:row>
      <xdr:rowOff>84393</xdr:rowOff>
    </xdr:from>
    <xdr:to>
      <xdr:col>5</xdr:col>
      <xdr:colOff>97367</xdr:colOff>
      <xdr:row>51</xdr:row>
      <xdr:rowOff>56210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BF2606D-CABA-4CD8-9CEB-6D868B2C1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850" y="1023804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0</xdr:row>
      <xdr:rowOff>466725</xdr:rowOff>
    </xdr:from>
    <xdr:to>
      <xdr:col>21</xdr:col>
      <xdr:colOff>477308</xdr:colOff>
      <xdr:row>10</xdr:row>
      <xdr:rowOff>105180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8D7FA7-98E5-4551-B3A9-CB01F4176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10500" y="466725"/>
          <a:ext cx="7582958" cy="290553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60B54BB-3973-4869-A856-1759C229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743586</xdr:colOff>
      <xdr:row>29</xdr:row>
      <xdr:rowOff>112947</xdr:rowOff>
    </xdr:from>
    <xdr:to>
      <xdr:col>4</xdr:col>
      <xdr:colOff>33975</xdr:colOff>
      <xdr:row>36</xdr:row>
      <xdr:rowOff>15852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284015-CB71-4537-B7FE-1CF5558C94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1686" y="7685322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51E29A-EE9A-423C-B7C4-07187BBC8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953910-3CCA-4718-AEB1-D39D16BFE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31</xdr:row>
      <xdr:rowOff>123825</xdr:rowOff>
    </xdr:from>
    <xdr:to>
      <xdr:col>4</xdr:col>
      <xdr:colOff>1323974</xdr:colOff>
      <xdr:row>35</xdr:row>
      <xdr:rowOff>144328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335F95-B61B-422C-A8B2-11B4657E7C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5" y="80581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BE18D81-843D-46A1-84BC-23CE1BF8D3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43</xdr:row>
      <xdr:rowOff>141543</xdr:rowOff>
    </xdr:from>
    <xdr:to>
      <xdr:col>3</xdr:col>
      <xdr:colOff>783167</xdr:colOff>
      <xdr:row>51</xdr:row>
      <xdr:rowOff>113360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E03A030-E9CD-4B48-8B5E-F73797E8F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950" y="102951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0</xdr:row>
      <xdr:rowOff>57150</xdr:rowOff>
    </xdr:from>
    <xdr:to>
      <xdr:col>21</xdr:col>
      <xdr:colOff>172508</xdr:colOff>
      <xdr:row>8</xdr:row>
      <xdr:rowOff>257580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A0E025-2659-87ED-7F4B-2FABBF4FB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05700" y="57150"/>
          <a:ext cx="7582958" cy="290553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82C4285-51A4-4B67-9FF0-23FA65CC35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452559</xdr:colOff>
      <xdr:row>41</xdr:row>
      <xdr:rowOff>90261</xdr:rowOff>
    </xdr:from>
    <xdr:to>
      <xdr:col>3</xdr:col>
      <xdr:colOff>1629384</xdr:colOff>
      <xdr:row>48</xdr:row>
      <xdr:rowOff>85267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8DF45B-8D10-4ECE-B795-3C93B30E4E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88278" y="9912917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912AE14-171A-4661-A943-5BC921F08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0409B6-596D-4069-97B1-61ABA3D22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1577445</xdr:colOff>
      <xdr:row>43</xdr:row>
      <xdr:rowOff>131233</xdr:rowOff>
    </xdr:from>
    <xdr:to>
      <xdr:col>4</xdr:col>
      <xdr:colOff>982783</xdr:colOff>
      <xdr:row>48</xdr:row>
      <xdr:rowOff>47625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ABFE3D5-BB08-422A-AA4C-038D12192F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910945" y="10311077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A2C3EE0-653B-4735-A123-DC3D97C02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421818</xdr:colOff>
      <xdr:row>0</xdr:row>
      <xdr:rowOff>166687</xdr:rowOff>
    </xdr:from>
    <xdr:to>
      <xdr:col>14</xdr:col>
      <xdr:colOff>274581</xdr:colOff>
      <xdr:row>22</xdr:row>
      <xdr:rowOff>143612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CD127E-31BE-FC10-4C42-8EB928729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6181893" y="1848018"/>
          <a:ext cx="6239613" cy="287695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0301D58-ADD1-4AA5-BD72-91EDD8A3F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654967</xdr:colOff>
      <xdr:row>29</xdr:row>
      <xdr:rowOff>90260</xdr:rowOff>
    </xdr:from>
    <xdr:to>
      <xdr:col>4</xdr:col>
      <xdr:colOff>105386</xdr:colOff>
      <xdr:row>36</xdr:row>
      <xdr:rowOff>85267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92DAB5-6BCC-4C7B-855D-2F80C3390F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0686" y="7698354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F7477A-00F9-4EB2-A755-72E0BB717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9D4850-E6F1-4185-8BC2-3750B85197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232038</xdr:colOff>
      <xdr:row>31</xdr:row>
      <xdr:rowOff>12171</xdr:rowOff>
    </xdr:from>
    <xdr:to>
      <xdr:col>4</xdr:col>
      <xdr:colOff>1363782</xdr:colOff>
      <xdr:row>35</xdr:row>
      <xdr:rowOff>107156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A100B8-CFEB-484F-A001-13C50BF310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1944" y="7977452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11</xdr:col>
      <xdr:colOff>345282</xdr:colOff>
      <xdr:row>32</xdr:row>
      <xdr:rowOff>184406</xdr:rowOff>
    </xdr:from>
    <xdr:to>
      <xdr:col>12</xdr:col>
      <xdr:colOff>604574</xdr:colOff>
      <xdr:row>40</xdr:row>
      <xdr:rowOff>134791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0344B69-53C9-4168-8508-DCA691D4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3907" y="8299706"/>
          <a:ext cx="992717" cy="142676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5BA42DE7-B8E8-456B-BDEC-0E74680F6E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657860</xdr:colOff>
      <xdr:row>36</xdr:row>
      <xdr:rowOff>8172</xdr:rowOff>
    </xdr:from>
    <xdr:to>
      <xdr:col>3</xdr:col>
      <xdr:colOff>1672274</xdr:colOff>
      <xdr:row>42</xdr:row>
      <xdr:rowOff>63477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027F6C-328D-484B-818B-36B6B62EC5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5960" y="885689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60CD7C-BFB0-436A-86CC-F53AABDBF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D959116-B99F-4121-B476-741FBFF69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38100</xdr:rowOff>
    </xdr:from>
    <xdr:to>
      <xdr:col>4</xdr:col>
      <xdr:colOff>1314449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E331889-AC24-4DDB-B250-4B507F4515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CC22CFE-6A9E-4E77-B132-A27C9E6CDC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FC73812-B3CA-468E-95FB-DCADD6B2A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0</xdr:row>
      <xdr:rowOff>333375</xdr:rowOff>
    </xdr:from>
    <xdr:to>
      <xdr:col>17</xdr:col>
      <xdr:colOff>67360</xdr:colOff>
      <xdr:row>16</xdr:row>
      <xdr:rowOff>162564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F748610-45E2-4908-ABD3-CDCEED899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39050" y="333375"/>
          <a:ext cx="4906060" cy="4582164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03AEF5D-3872-4959-BFFC-2B6C086AA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724536</xdr:colOff>
      <xdr:row>36</xdr:row>
      <xdr:rowOff>8172</xdr:rowOff>
    </xdr:from>
    <xdr:to>
      <xdr:col>4</xdr:col>
      <xdr:colOff>14925</xdr:colOff>
      <xdr:row>42</xdr:row>
      <xdr:rowOff>63477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CF94EF-239F-46E8-8850-3BAC5B49DE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62636" y="885689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86A8B6-B548-4ED2-95FA-1D1E8FA3E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FABCF5-0016-49F6-BA43-70247951D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47625</xdr:rowOff>
    </xdr:from>
    <xdr:to>
      <xdr:col>4</xdr:col>
      <xdr:colOff>1266824</xdr:colOff>
      <xdr:row>35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175CA26-BDFB-482E-BB17-1E21F2FAD0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7981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4376424-E7E0-4EB8-B488-711FEF4C8E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76BF47B-FA5A-426E-ADFB-58090A4DC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219075</xdr:colOff>
      <xdr:row>0</xdr:row>
      <xdr:rowOff>209550</xdr:rowOff>
    </xdr:from>
    <xdr:to>
      <xdr:col>17</xdr:col>
      <xdr:colOff>95935</xdr:colOff>
      <xdr:row>16</xdr:row>
      <xdr:rowOff>38739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EFC17CD-A001-8FE2-2A45-BEBB0721E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67625" y="209550"/>
          <a:ext cx="4906060" cy="4582164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58B7C148-361F-4488-BD27-D02854CCC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B415F1D-E793-40B4-A3DB-B2812C02D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5DD08B-5250-4F8F-9949-ACEAE0710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</xdr:col>
      <xdr:colOff>711592</xdr:colOff>
      <xdr:row>35</xdr:row>
      <xdr:rowOff>134596</xdr:rowOff>
    </xdr:from>
    <xdr:to>
      <xdr:col>4</xdr:col>
      <xdr:colOff>131530</xdr:colOff>
      <xdr:row>42</xdr:row>
      <xdr:rowOff>76061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1C74CE-96B3-44B2-A5FE-7DEF4BF864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53925" y="8728263"/>
          <a:ext cx="2457355" cy="1243215"/>
        </a:xfrm>
        <a:prstGeom prst="rect">
          <a:avLst/>
        </a:prstGeom>
      </xdr:spPr>
    </xdr:pic>
    <xdr:clientData/>
  </xdr:twoCellAnchor>
  <xdr:twoCellAnchor editAs="oneCell">
    <xdr:from>
      <xdr:col>4</xdr:col>
      <xdr:colOff>158750</xdr:colOff>
      <xdr:row>31</xdr:row>
      <xdr:rowOff>47625</xdr:rowOff>
    </xdr:from>
    <xdr:to>
      <xdr:col>4</xdr:col>
      <xdr:colOff>1326121</xdr:colOff>
      <xdr:row>35</xdr:row>
      <xdr:rowOff>169332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2127029-3D0B-4650-80FF-D9D6EC08B0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38500" y="7911042"/>
          <a:ext cx="1167371" cy="851957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8C48BC-C2BC-49A3-B3AE-790DB9973B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211667</xdr:colOff>
      <xdr:row>28</xdr:row>
      <xdr:rowOff>38883</xdr:rowOff>
    </xdr:from>
    <xdr:to>
      <xdr:col>3</xdr:col>
      <xdr:colOff>709084</xdr:colOff>
      <xdr:row>36</xdr:row>
      <xdr:rowOff>138759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32D0B73-D18E-41AF-A5D5-6C727FB0A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9867" y="7563633"/>
          <a:ext cx="1002242" cy="1423851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59CA9EE8-322A-4E2C-9C3F-A8DCABD928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695960</xdr:colOff>
      <xdr:row>36</xdr:row>
      <xdr:rowOff>27221</xdr:rowOff>
    </xdr:from>
    <xdr:to>
      <xdr:col>3</xdr:col>
      <xdr:colOff>1710374</xdr:colOff>
      <xdr:row>42</xdr:row>
      <xdr:rowOff>82526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3C0FD0-6761-4CF1-B9AC-CF7DD2D1A6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4060" y="88759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0666A0F-3BA8-4B1F-A912-76C19EDFE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EF75EC-E85F-4D1A-9590-1450B7221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66675</xdr:rowOff>
    </xdr:from>
    <xdr:to>
      <xdr:col>4</xdr:col>
      <xdr:colOff>1257299</xdr:colOff>
      <xdr:row>35</xdr:row>
      <xdr:rowOff>87178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DBA642-F71D-4216-8966-4829D9DADB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80010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20B99A-84D0-44EB-8FD9-3547C202DD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A315C0-746E-419E-944E-7BF816264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3</xdr:row>
      <xdr:rowOff>28575</xdr:rowOff>
    </xdr:from>
    <xdr:to>
      <xdr:col>15</xdr:col>
      <xdr:colOff>476820</xdr:colOff>
      <xdr:row>21</xdr:row>
      <xdr:rowOff>38725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AE112C3-78DF-41B3-84E7-31E02BFCA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86650" y="1552575"/>
          <a:ext cx="4086795" cy="4477375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A26689A-52AF-4D3C-9C6C-40FA0F79DD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647697</xdr:colOff>
      <xdr:row>41</xdr:row>
      <xdr:rowOff>57149</xdr:rowOff>
    </xdr:from>
    <xdr:to>
      <xdr:col>3</xdr:col>
      <xdr:colOff>1619247</xdr:colOff>
      <xdr:row>47</xdr:row>
      <xdr:rowOff>119235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C96436-12C8-45FE-B427-F4C4E2AED2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85797" y="9848849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24C85F-321B-405C-804B-87BF343C9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99C0A6E-1337-4FDB-8C89-5FAE6983E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1714500</xdr:colOff>
      <xdr:row>46</xdr:row>
      <xdr:rowOff>41084</xdr:rowOff>
    </xdr:from>
    <xdr:to>
      <xdr:col>4</xdr:col>
      <xdr:colOff>1000124</xdr:colOff>
      <xdr:row>50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DF4CA28-82CB-41BF-9806-484CBC40CB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57525" y="1074718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C1C9763-F816-4722-A64E-F4D290CA1A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</xdr:row>
      <xdr:rowOff>171450</xdr:rowOff>
    </xdr:from>
    <xdr:to>
      <xdr:col>3</xdr:col>
      <xdr:colOff>600074</xdr:colOff>
      <xdr:row>46</xdr:row>
      <xdr:rowOff>177991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3E78B76-DB08-472B-866A-B53D122E2F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933450" y="10144125"/>
          <a:ext cx="1009649" cy="739966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7B47836-0323-4582-BF90-F240885C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724535</xdr:colOff>
      <xdr:row>36</xdr:row>
      <xdr:rowOff>27222</xdr:rowOff>
    </xdr:from>
    <xdr:to>
      <xdr:col>4</xdr:col>
      <xdr:colOff>14924</xdr:colOff>
      <xdr:row>42</xdr:row>
      <xdr:rowOff>82527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BCA167-E801-4A49-85D4-FD5A1E36D9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62635" y="887594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652325B-4309-4858-B72E-F317C94D0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F1D4BA-3F8C-4466-9E56-ACDFEE5C5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31</xdr:row>
      <xdr:rowOff>47625</xdr:rowOff>
    </xdr:from>
    <xdr:to>
      <xdr:col>4</xdr:col>
      <xdr:colOff>1219199</xdr:colOff>
      <xdr:row>35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577BA1-F8F2-48F4-AF44-B683A696E7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57550" y="7981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BAEBCF4-2A6B-4FD3-BE0C-5CFBDFAB93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58CD0A-4674-4E06-B359-CAEFE83AF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85725</xdr:colOff>
      <xdr:row>0</xdr:row>
      <xdr:rowOff>0</xdr:rowOff>
    </xdr:from>
    <xdr:to>
      <xdr:col>15</xdr:col>
      <xdr:colOff>524445</xdr:colOff>
      <xdr:row>14</xdr:row>
      <xdr:rowOff>219700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3CF7A1-6AAF-7B2E-A9D5-2F60141DB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34275" y="0"/>
          <a:ext cx="4086795" cy="4477375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4BBBE27-67FD-481F-8D8B-46266FF13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715010</xdr:colOff>
      <xdr:row>36</xdr:row>
      <xdr:rowOff>8170</xdr:rowOff>
    </xdr:from>
    <xdr:to>
      <xdr:col>4</xdr:col>
      <xdr:colOff>5399</xdr:colOff>
      <xdr:row>42</xdr:row>
      <xdr:rowOff>63475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427369-535A-49B7-BD5F-537ED9F996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53110" y="8856895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18E741D-9E40-4048-8030-A73D05A1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0A6ED2-6D01-46FF-BE75-DEC96EB36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38100</xdr:rowOff>
    </xdr:from>
    <xdr:to>
      <xdr:col>4</xdr:col>
      <xdr:colOff>1314449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578EC7-58F9-472E-8E1A-F758B9518F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DEB1BB-522C-4DAD-93F3-C381E3E7C6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E676AD1-ECFB-4E79-9026-66E4B8E46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807586C-876B-4EEA-8760-A61FD6614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695961</xdr:colOff>
      <xdr:row>35</xdr:row>
      <xdr:rowOff>179621</xdr:rowOff>
    </xdr:from>
    <xdr:to>
      <xdr:col>3</xdr:col>
      <xdr:colOff>1710375</xdr:colOff>
      <xdr:row>42</xdr:row>
      <xdr:rowOff>53951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A5EE7E-4FAF-4312-BE5A-42146591AA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4061" y="8847371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4B8221-FFD6-4498-8F5C-9FAC585A3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1318F5-D76A-4C06-9C04-D5686FD3F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31</xdr:row>
      <xdr:rowOff>47625</xdr:rowOff>
    </xdr:from>
    <xdr:to>
      <xdr:col>4</xdr:col>
      <xdr:colOff>1304924</xdr:colOff>
      <xdr:row>35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0C6A81C-95CB-4076-9BDE-9238A6240A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3275" y="7981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CB0F8EB-7245-4690-A207-CCC78781D0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49E0308-D4C5-49FA-8819-CE668972E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EF62C5B-3D15-4B36-B1E1-8C7B076FBD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734062</xdr:colOff>
      <xdr:row>35</xdr:row>
      <xdr:rowOff>179621</xdr:rowOff>
    </xdr:from>
    <xdr:to>
      <xdr:col>4</xdr:col>
      <xdr:colOff>24451</xdr:colOff>
      <xdr:row>42</xdr:row>
      <xdr:rowOff>53951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A00369-C965-4E12-AFE7-2DD5DB6D22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2162" y="8847371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45CBBC-D643-48E1-8C75-ED1A2D33C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747F46-7874-46E7-9510-4D99E9860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31</xdr:row>
      <xdr:rowOff>9525</xdr:rowOff>
    </xdr:from>
    <xdr:to>
      <xdr:col>4</xdr:col>
      <xdr:colOff>1295399</xdr:colOff>
      <xdr:row>35</xdr:row>
      <xdr:rowOff>30028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4BA002F-BCE5-4F34-A72E-9F19BADE47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3750" y="79438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2D9998-9AA2-4F85-8A70-BCB071569C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7F002B1-00F4-424D-88F3-65730429E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0</xdr:row>
      <xdr:rowOff>0</xdr:rowOff>
    </xdr:from>
    <xdr:to>
      <xdr:col>18</xdr:col>
      <xdr:colOff>96024</xdr:colOff>
      <xdr:row>13</xdr:row>
      <xdr:rowOff>19612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88597BC-37BC-6E42-4D6E-DE5CB933A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39050" y="0"/>
          <a:ext cx="5544324" cy="4029637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C1D623C-F72E-47FF-8956-5D0C6E0D41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742945</xdr:colOff>
      <xdr:row>36</xdr:row>
      <xdr:rowOff>28576</xdr:rowOff>
    </xdr:from>
    <xdr:to>
      <xdr:col>3</xdr:col>
      <xdr:colOff>1714495</xdr:colOff>
      <xdr:row>42</xdr:row>
      <xdr:rowOff>62087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E329B1-A39A-4F2B-804C-E3E93FBA7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1045" y="887730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D62F8C-DC64-416F-8E07-B1D2F6BCA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4EB6321-0BEB-4691-82FA-89486E3DD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7987B1-5742-4E63-A148-30A8E8E43B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38100</xdr:rowOff>
    </xdr:from>
    <xdr:to>
      <xdr:col>4</xdr:col>
      <xdr:colOff>1314449</xdr:colOff>
      <xdr:row>35</xdr:row>
      <xdr:rowOff>58603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389DC4-F4F2-4D28-9C5C-FC5E059C31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1205440-7387-44E7-8BF0-22B0070D54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43</xdr:row>
      <xdr:rowOff>17718</xdr:rowOff>
    </xdr:from>
    <xdr:to>
      <xdr:col>2</xdr:col>
      <xdr:colOff>392642</xdr:colOff>
      <xdr:row>50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1B9F5A-0F87-4AE7-BF2B-D04E1262B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1017136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31</xdr:row>
      <xdr:rowOff>47625</xdr:rowOff>
    </xdr:from>
    <xdr:to>
      <xdr:col>3</xdr:col>
      <xdr:colOff>781049</xdr:colOff>
      <xdr:row>35</xdr:row>
      <xdr:rowOff>68128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0A98819-F2A1-4A36-85A5-4DBB1312F1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95375" y="7981950"/>
          <a:ext cx="1028699" cy="75392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33C4AD8-B6F3-4CE1-BBEF-BCCED15594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739664</xdr:colOff>
      <xdr:row>29</xdr:row>
      <xdr:rowOff>40166</xdr:rowOff>
    </xdr:from>
    <xdr:to>
      <xdr:col>4</xdr:col>
      <xdr:colOff>118810</xdr:colOff>
      <xdr:row>35</xdr:row>
      <xdr:rowOff>171028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1BCA65-0DA0-4A55-80A2-7AF969014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1997" y="7543749"/>
          <a:ext cx="2416563" cy="1220946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0A3196-5B2C-4BC3-B71D-6F0A30D73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1C8C8B-57B7-4064-A340-F916564FB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267760</xdr:colOff>
      <xdr:row>31</xdr:row>
      <xdr:rowOff>48682</xdr:rowOff>
    </xdr:from>
    <xdr:to>
      <xdr:col>4</xdr:col>
      <xdr:colOff>1296459</xdr:colOff>
      <xdr:row>35</xdr:row>
      <xdr:rowOff>68127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06F0CB1-2FD7-4DCE-AA9E-2CE295D7A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7510" y="791209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0BD6087-DDC7-4FFA-A434-27E6DA1D6C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0341E4-E7C2-4473-B945-3472DA3E9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3225" y="8163709"/>
          <a:ext cx="1008592" cy="1429142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2DDA2BC-6EDE-4DD9-8B25-11958939F5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705485</xdr:colOff>
      <xdr:row>35</xdr:row>
      <xdr:rowOff>170096</xdr:rowOff>
    </xdr:from>
    <xdr:to>
      <xdr:col>3</xdr:col>
      <xdr:colOff>1719899</xdr:colOff>
      <xdr:row>42</xdr:row>
      <xdr:rowOff>44426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8B40D0-4E85-45E5-8CB2-605FE2F34E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3585" y="88378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E7DE068-C36B-4FD9-9EEF-56C08625D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BBAD-8CE0-4474-B4E7-5F51BD4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31</xdr:row>
      <xdr:rowOff>76200</xdr:rowOff>
    </xdr:from>
    <xdr:to>
      <xdr:col>4</xdr:col>
      <xdr:colOff>1333499</xdr:colOff>
      <xdr:row>35</xdr:row>
      <xdr:rowOff>96703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7529EFA-0598-4412-90F9-DEAC6B5832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1850" y="80105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7D60A82-BA75-42A2-B3D0-8EBB712AD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F83B392-6B3D-4EAE-AD17-D8AB6DF9B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15</xdr:col>
      <xdr:colOff>409575</xdr:colOff>
      <xdr:row>0</xdr:row>
      <xdr:rowOff>28575</xdr:rowOff>
    </xdr:from>
    <xdr:to>
      <xdr:col>21</xdr:col>
      <xdr:colOff>362476</xdr:colOff>
      <xdr:row>17</xdr:row>
      <xdr:rowOff>200747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A66D48-8693-42F3-AFCF-47E4E8ABE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06200" y="28575"/>
          <a:ext cx="3772426" cy="5172797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104775</xdr:rowOff>
    </xdr:from>
    <xdr:to>
      <xdr:col>16</xdr:col>
      <xdr:colOff>533948</xdr:colOff>
      <xdr:row>15</xdr:row>
      <xdr:rowOff>153019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3B22E83-2DAC-463B-8AAA-A561A86C7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53325" y="104775"/>
          <a:ext cx="4848773" cy="4553569"/>
        </a:xfrm>
        <a:prstGeom prst="rect">
          <a:avLst/>
        </a:prstGeom>
      </xdr:spPr>
    </xdr:pic>
    <xdr:clientData/>
  </xdr:twoCellAnchor>
  <xdr:twoCellAnchor editAs="oneCell">
    <xdr:from>
      <xdr:col>15</xdr:col>
      <xdr:colOff>333709</xdr:colOff>
      <xdr:row>2</xdr:row>
      <xdr:rowOff>209216</xdr:rowOff>
    </xdr:from>
    <xdr:to>
      <xdr:col>20</xdr:col>
      <xdr:colOff>19788</xdr:colOff>
      <xdr:row>37</xdr:row>
      <xdr:rowOff>738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42F8586-96D9-12FD-3493-3B99FE0CD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9039225" y="3743325"/>
          <a:ext cx="7678222" cy="2896004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EEB1599-3158-43CE-9897-6878D3073B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54610</xdr:colOff>
      <xdr:row>36</xdr:row>
      <xdr:rowOff>7112</xdr:rowOff>
    </xdr:from>
    <xdr:to>
      <xdr:col>4</xdr:col>
      <xdr:colOff>148275</xdr:colOff>
      <xdr:row>42</xdr:row>
      <xdr:rowOff>62417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6DE7B7-3FAE-4821-A036-B3B14371BC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901277" y="8780695"/>
          <a:ext cx="2326748" cy="117713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203200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3514D2-DDAB-4ACD-9C0C-59FD35EAB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E98534D-8CB0-4B5F-AB61-CADDDB8C6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306917</xdr:colOff>
      <xdr:row>31</xdr:row>
      <xdr:rowOff>56092</xdr:rowOff>
    </xdr:from>
    <xdr:to>
      <xdr:col>4</xdr:col>
      <xdr:colOff>1335616</xdr:colOff>
      <xdr:row>35</xdr:row>
      <xdr:rowOff>76595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25DA9D-7AA6-4A0C-8FBB-1718E4D4ED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6667" y="7919509"/>
          <a:ext cx="1028699" cy="75075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1045633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608B4A0-7FB6-41B1-9E00-EC243B8A2E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A964E4-CD5B-4518-B60A-1FD70869A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15</xdr:col>
      <xdr:colOff>409575</xdr:colOff>
      <xdr:row>0</xdr:row>
      <xdr:rowOff>28575</xdr:rowOff>
    </xdr:from>
    <xdr:to>
      <xdr:col>21</xdr:col>
      <xdr:colOff>362476</xdr:colOff>
      <xdr:row>17</xdr:row>
      <xdr:rowOff>200747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367B8C7-9E4C-E1B2-D23B-32889164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06200" y="28575"/>
          <a:ext cx="3772426" cy="5172797"/>
        </a:xfrm>
        <a:prstGeom prst="rect">
          <a:avLst/>
        </a:prstGeom>
      </xdr:spPr>
    </xdr:pic>
    <xdr:clientData/>
  </xdr:twoCellAnchor>
  <xdr:twoCellAnchor editAs="oneCell">
    <xdr:from>
      <xdr:col>10</xdr:col>
      <xdr:colOff>197908</xdr:colOff>
      <xdr:row>0</xdr:row>
      <xdr:rowOff>0</xdr:rowOff>
    </xdr:from>
    <xdr:to>
      <xdr:col>16</xdr:col>
      <xdr:colOff>468331</xdr:colOff>
      <xdr:row>15</xdr:row>
      <xdr:rowOff>48244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F48BB82-AB8F-0963-D684-200AE69CC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59158" y="0"/>
          <a:ext cx="4853006" cy="4524994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582B052-F70A-474D-BC14-263CFFD8C0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686435</xdr:colOff>
      <xdr:row>36</xdr:row>
      <xdr:rowOff>27222</xdr:rowOff>
    </xdr:from>
    <xdr:to>
      <xdr:col>3</xdr:col>
      <xdr:colOff>1700849</xdr:colOff>
      <xdr:row>42</xdr:row>
      <xdr:rowOff>82527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C4FAA2-0AEE-40C5-8A31-FCC4D5F26B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4535" y="887594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408F39-FCEE-42A0-A5B4-6824C170E4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694186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09F0707-0810-4475-9B1B-558ED45C9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66675</xdr:rowOff>
    </xdr:from>
    <xdr:to>
      <xdr:col>4</xdr:col>
      <xdr:colOff>1266824</xdr:colOff>
      <xdr:row>35</xdr:row>
      <xdr:rowOff>87178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2510BE-9483-4D4F-8F95-404E82AD5B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80010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9525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2615F41-7971-40B2-AD38-784A45B3B5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28</xdr:row>
      <xdr:rowOff>36768</xdr:rowOff>
    </xdr:from>
    <xdr:to>
      <xdr:col>3</xdr:col>
      <xdr:colOff>630767</xdr:colOff>
      <xdr:row>36</xdr:row>
      <xdr:rowOff>141935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9169A95-D542-46EB-AEBB-3A0D1C02F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75615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0</xdr:row>
      <xdr:rowOff>0</xdr:rowOff>
    </xdr:from>
    <xdr:to>
      <xdr:col>14</xdr:col>
      <xdr:colOff>143270</xdr:colOff>
      <xdr:row>8</xdr:row>
      <xdr:rowOff>171851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5035AA7-F323-438C-9B1B-4C9EFD61B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43800" y="0"/>
          <a:ext cx="2829320" cy="2876951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FAF0CDF-26AC-43B0-98ED-FFEEFEFEB3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619120</xdr:colOff>
      <xdr:row>43</xdr:row>
      <xdr:rowOff>1</xdr:rowOff>
    </xdr:from>
    <xdr:to>
      <xdr:col>3</xdr:col>
      <xdr:colOff>1590670</xdr:colOff>
      <xdr:row>49</xdr:row>
      <xdr:rowOff>62087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BB698D-531A-4BBA-A5E8-024285941A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57220" y="101536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1F0A6F-61FF-402C-B728-A0F5E9CC7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49AC8E-5C80-4E82-98FB-07B96591F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2010D92-F335-491E-8AF6-3E9089BE00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44</xdr:row>
      <xdr:rowOff>95250</xdr:rowOff>
    </xdr:from>
    <xdr:to>
      <xdr:col>4</xdr:col>
      <xdr:colOff>1114424</xdr:colOff>
      <xdr:row>48</xdr:row>
      <xdr:rowOff>115753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BB725E-7428-4C19-8604-82E2543A3B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52775" y="104298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95E36F0-DED3-4CE3-8F71-0D2DE7A35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29</xdr:row>
      <xdr:rowOff>17718</xdr:rowOff>
    </xdr:from>
    <xdr:to>
      <xdr:col>3</xdr:col>
      <xdr:colOff>640292</xdr:colOff>
      <xdr:row>36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891485F-2FD0-43F4-99EB-781B20476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075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BB4B69E-74E7-4314-AB92-D6C80B3A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439856</xdr:colOff>
      <xdr:row>40</xdr:row>
      <xdr:rowOff>196391</xdr:rowOff>
    </xdr:from>
    <xdr:to>
      <xdr:col>3</xdr:col>
      <xdr:colOff>1526734</xdr:colOff>
      <xdr:row>47</xdr:row>
      <xdr:rowOff>107565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813051-DCB8-44AE-A380-1CFCFFF77F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77956" y="9778541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59EA81-A210-45C6-9FA7-01D9B289A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AE3578-7327-47EA-90AE-C7D36A949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C6DF7A24-B7C5-4587-8550-EEEAF2E02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723899</xdr:colOff>
      <xdr:row>44</xdr:row>
      <xdr:rowOff>76200</xdr:rowOff>
    </xdr:from>
    <xdr:to>
      <xdr:col>3</xdr:col>
      <xdr:colOff>380709</xdr:colOff>
      <xdr:row>48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2C3706-02C0-4E5E-980F-D49CFA6B2D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761999" y="104108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3</xdr:col>
      <xdr:colOff>1543050</xdr:colOff>
      <xdr:row>43</xdr:row>
      <xdr:rowOff>95250</xdr:rowOff>
    </xdr:from>
    <xdr:to>
      <xdr:col>4</xdr:col>
      <xdr:colOff>754767</xdr:colOff>
      <xdr:row>47</xdr:row>
      <xdr:rowOff>47625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D36E11-1B99-454A-9082-BE837C3451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886075" y="10248900"/>
          <a:ext cx="935742" cy="685800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0</xdr:row>
      <xdr:rowOff>0</xdr:rowOff>
    </xdr:from>
    <xdr:to>
      <xdr:col>14</xdr:col>
      <xdr:colOff>610031</xdr:colOff>
      <xdr:row>21</xdr:row>
      <xdr:rowOff>124679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BD2ECA2-3B9A-39D7-FE2F-CDB5B3569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48575" y="0"/>
          <a:ext cx="3086531" cy="6115904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9E6DF66-17E7-4F45-A29D-1D7A5C40E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678778</xdr:colOff>
      <xdr:row>35</xdr:row>
      <xdr:rowOff>161697</xdr:rowOff>
    </xdr:from>
    <xdr:to>
      <xdr:col>4</xdr:col>
      <xdr:colOff>129197</xdr:colOff>
      <xdr:row>42</xdr:row>
      <xdr:rowOff>109079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EA3AA3-18DD-4EF3-96C3-558A9503EB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4497" y="8853260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BF547B8-E25A-4634-B13D-8ED173E6A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5EA2CF-2918-4780-B376-E0B856DCD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243945</xdr:colOff>
      <xdr:row>31</xdr:row>
      <xdr:rowOff>24077</xdr:rowOff>
    </xdr:from>
    <xdr:to>
      <xdr:col>4</xdr:col>
      <xdr:colOff>1375689</xdr:colOff>
      <xdr:row>35</xdr:row>
      <xdr:rowOff>119062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94A933C-7DFD-40C1-87C0-CBA562CB94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3851" y="7989358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33E8896-21C7-4C9F-9C1F-E701ED7BB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343236</xdr:colOff>
      <xdr:row>0</xdr:row>
      <xdr:rowOff>0</xdr:rowOff>
    </xdr:from>
    <xdr:to>
      <xdr:col>14</xdr:col>
      <xdr:colOff>215052</xdr:colOff>
      <xdr:row>25</xdr:row>
      <xdr:rowOff>179332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389CCB-3011-6C79-3386-BDF2EB10B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5636587" y="2148055"/>
          <a:ext cx="7192113" cy="2896004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C662C0E-B8CB-4D77-9679-C4FC797B50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705484</xdr:colOff>
      <xdr:row>35</xdr:row>
      <xdr:rowOff>179622</xdr:rowOff>
    </xdr:from>
    <xdr:to>
      <xdr:col>3</xdr:col>
      <xdr:colOff>1719898</xdr:colOff>
      <xdr:row>42</xdr:row>
      <xdr:rowOff>53952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EA9C31-A9F4-460C-BC4A-9C37E61429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3584" y="8847372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78F26A2-451E-446E-AAC7-3FC4D0F40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694186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B643CC-9597-4B9E-864C-3C9F7D6EE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85725</xdr:rowOff>
    </xdr:from>
    <xdr:to>
      <xdr:col>4</xdr:col>
      <xdr:colOff>1266824</xdr:colOff>
      <xdr:row>35</xdr:row>
      <xdr:rowOff>106228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5E9BF7-1C71-45AB-8868-8B087938B4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80200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9525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F00C14C-3CFC-44C6-B7A5-90D9E9F6C0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28</xdr:row>
      <xdr:rowOff>36768</xdr:rowOff>
    </xdr:from>
    <xdr:to>
      <xdr:col>3</xdr:col>
      <xdr:colOff>630767</xdr:colOff>
      <xdr:row>36</xdr:row>
      <xdr:rowOff>141935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789603E-7CBC-491C-8D57-5B1FA99F1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75615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0</xdr:row>
      <xdr:rowOff>0</xdr:rowOff>
    </xdr:from>
    <xdr:to>
      <xdr:col>14</xdr:col>
      <xdr:colOff>143270</xdr:colOff>
      <xdr:row>8</xdr:row>
      <xdr:rowOff>171851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A8ABBF5-3B3B-4C21-9D8B-4DD44FF75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43800" y="0"/>
          <a:ext cx="2829320" cy="2876951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B21D15F-C882-4301-8EBD-E9DA7C7863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723897</xdr:colOff>
      <xdr:row>36</xdr:row>
      <xdr:rowOff>66675</xdr:rowOff>
    </xdr:from>
    <xdr:to>
      <xdr:col>3</xdr:col>
      <xdr:colOff>1695447</xdr:colOff>
      <xdr:row>42</xdr:row>
      <xdr:rowOff>100186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EF8078-7E9B-4845-BD3F-277B42DCEF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61997" y="8915400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94A4CAB-8966-4776-9057-1F9C58D9E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33C912-8354-44D9-9E6A-1610E5B4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31</xdr:row>
      <xdr:rowOff>69659</xdr:rowOff>
    </xdr:from>
    <xdr:to>
      <xdr:col>4</xdr:col>
      <xdr:colOff>1200149</xdr:colOff>
      <xdr:row>35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D471F5-5759-4E32-9F5D-1364B6FE8B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57550" y="800398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A0C421-D957-4D3E-BFDA-5D65853631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31</xdr:row>
      <xdr:rowOff>76200</xdr:rowOff>
    </xdr:from>
    <xdr:to>
      <xdr:col>3</xdr:col>
      <xdr:colOff>685799</xdr:colOff>
      <xdr:row>35</xdr:row>
      <xdr:rowOff>82741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882AF46-AC82-4817-8AB2-B974D2E102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19175" y="8010525"/>
          <a:ext cx="1009649" cy="739966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63712CE-AD7E-4517-A82D-69CA254159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704849</xdr:colOff>
      <xdr:row>36</xdr:row>
      <xdr:rowOff>28576</xdr:rowOff>
    </xdr:from>
    <xdr:to>
      <xdr:col>3</xdr:col>
      <xdr:colOff>1676399</xdr:colOff>
      <xdr:row>42</xdr:row>
      <xdr:rowOff>62087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5B9A75-09E4-44C5-8EA2-1C4A53A474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2949" y="887730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96CF167-DB97-4071-9791-E22F23AC5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B432997-116B-4CF3-BDCD-EBC4388B7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60134</xdr:rowOff>
    </xdr:from>
    <xdr:to>
      <xdr:col>4</xdr:col>
      <xdr:colOff>1247774</xdr:colOff>
      <xdr:row>35</xdr:row>
      <xdr:rowOff>66675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443973-08FC-4FC8-9CCC-C2844C2247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799445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673FAB-0A2F-4DC7-8C20-577B105BDC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5C29BB6-F9C4-415A-B88F-662EFCA79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D7388A5-C3D6-4940-82DB-55018328C8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539511</xdr:colOff>
      <xdr:row>35</xdr:row>
      <xdr:rowOff>19448</xdr:rowOff>
    </xdr:from>
    <xdr:to>
      <xdr:col>4</xdr:col>
      <xdr:colOff>227126</xdr:colOff>
      <xdr:row>42</xdr:row>
      <xdr:rowOff>101014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D862103-EBF6-4F73-9359-DFA69183E7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81844" y="8613115"/>
          <a:ext cx="2725032" cy="1383316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4E6673-501C-4086-9AEF-F7F69E290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618A7C-F327-4965-BBB8-A5EA87360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220399</xdr:colOff>
      <xdr:row>30</xdr:row>
      <xdr:rowOff>80962</xdr:rowOff>
    </xdr:from>
    <xdr:to>
      <xdr:col>4</xdr:col>
      <xdr:colOff>1342800</xdr:colOff>
      <xdr:row>34</xdr:row>
      <xdr:rowOff>169333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6919B16-575E-4AD2-9EAE-1299ED76B8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0149" y="7764462"/>
          <a:ext cx="1122401" cy="818621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7DA4ADC-6204-40E3-8055-9B9AF460C1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169333</xdr:colOff>
      <xdr:row>29</xdr:row>
      <xdr:rowOff>60053</xdr:rowOff>
    </xdr:from>
    <xdr:to>
      <xdr:col>3</xdr:col>
      <xdr:colOff>666750</xdr:colOff>
      <xdr:row>37</xdr:row>
      <xdr:rowOff>32928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E262E4C-DD41-4276-96C2-A781C4448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6000" y="7563636"/>
          <a:ext cx="1005417" cy="142279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User/Documents/NBI/RS,PO,Deposit,2307/Requisition%20Slip/SYSTEM/2023%20Davao%20Requisition%20Slip.xlsm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yie\request%20file\MAYIE%20FILES_MAINTENANCE\MAYIE\excel%20file\PAYABLES_MAINTENANCE%20per%20SUPPLIER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244"/>
      <sheetName val="243"/>
      <sheetName val="242"/>
      <sheetName val="241"/>
      <sheetName val="240"/>
      <sheetName val="239"/>
      <sheetName val="238"/>
      <sheetName val="237"/>
      <sheetName val="236"/>
      <sheetName val="235"/>
      <sheetName val="234"/>
      <sheetName val="233"/>
      <sheetName val="232"/>
      <sheetName val="231"/>
      <sheetName val="230"/>
      <sheetName val="229"/>
      <sheetName val="228"/>
      <sheetName val="227"/>
      <sheetName val="226"/>
      <sheetName val="225"/>
      <sheetName val="224"/>
      <sheetName val="223"/>
      <sheetName val="222"/>
      <sheetName val="221"/>
      <sheetName val="220"/>
      <sheetName val="219"/>
      <sheetName val="218"/>
      <sheetName val="217"/>
      <sheetName val="216"/>
      <sheetName val="215"/>
      <sheetName val="214"/>
      <sheetName val="213"/>
      <sheetName val="212"/>
      <sheetName val="211"/>
      <sheetName val="210"/>
      <sheetName val="209"/>
      <sheetName val="208"/>
      <sheetName val="207"/>
      <sheetName val="206"/>
      <sheetName val="205"/>
      <sheetName val="204"/>
      <sheetName val="203"/>
      <sheetName val="202"/>
      <sheetName val="201"/>
      <sheetName val="200"/>
      <sheetName val="199"/>
      <sheetName val="198"/>
      <sheetName val="197"/>
      <sheetName val="196"/>
      <sheetName val="195"/>
      <sheetName val="194"/>
      <sheetName val="193"/>
      <sheetName val="192"/>
      <sheetName val="191"/>
      <sheetName val="190"/>
      <sheetName val="189"/>
      <sheetName val="188"/>
      <sheetName val="187"/>
      <sheetName val="186"/>
      <sheetName val="185"/>
      <sheetName val="184"/>
      <sheetName val="183"/>
      <sheetName val="182"/>
      <sheetName val="181"/>
      <sheetName val="180"/>
      <sheetName val="179"/>
      <sheetName val="178"/>
      <sheetName val="177"/>
      <sheetName val="176"/>
      <sheetName val="175"/>
      <sheetName val="174"/>
      <sheetName val="173"/>
      <sheetName val="172"/>
      <sheetName val="171"/>
      <sheetName val="170"/>
      <sheetName val="169"/>
      <sheetName val="168"/>
      <sheetName val="167"/>
      <sheetName val="166"/>
      <sheetName val="165"/>
      <sheetName val="164"/>
      <sheetName val="163"/>
      <sheetName val="162"/>
      <sheetName val="161"/>
      <sheetName val="160"/>
      <sheetName val="159"/>
      <sheetName val="158"/>
      <sheetName val="157"/>
      <sheetName val="156"/>
      <sheetName val="155"/>
      <sheetName val="154"/>
      <sheetName val="153"/>
      <sheetName val="152"/>
      <sheetName val="151"/>
      <sheetName val="150"/>
      <sheetName val="149"/>
      <sheetName val="148"/>
      <sheetName val="147"/>
      <sheetName val="146"/>
      <sheetName val="145"/>
      <sheetName val="144"/>
      <sheetName val="143"/>
      <sheetName val="142"/>
      <sheetName val="141"/>
      <sheetName val="140"/>
      <sheetName val="139"/>
      <sheetName val="138"/>
      <sheetName val="137"/>
      <sheetName val="136"/>
      <sheetName val="135"/>
      <sheetName val="134"/>
      <sheetName val="133"/>
      <sheetName val="132"/>
      <sheetName val="131"/>
      <sheetName val="130"/>
      <sheetName val="129"/>
      <sheetName val="128"/>
      <sheetName val="127"/>
      <sheetName val="126"/>
      <sheetName val="125"/>
      <sheetName val="124"/>
      <sheetName val="123"/>
      <sheetName val="122"/>
      <sheetName val="121"/>
      <sheetName val="120"/>
      <sheetName val="119"/>
      <sheetName val="118"/>
      <sheetName val="117"/>
      <sheetName val="116"/>
      <sheetName val="115"/>
      <sheetName val="114"/>
      <sheetName val="113"/>
      <sheetName val="112"/>
      <sheetName val="111"/>
      <sheetName val="110"/>
      <sheetName val="109"/>
      <sheetName val="108"/>
      <sheetName val="107"/>
      <sheetName val="106"/>
      <sheetName val="105"/>
      <sheetName val="104"/>
      <sheetName val="103"/>
      <sheetName val="102"/>
      <sheetName val="101"/>
      <sheetName val="100"/>
      <sheetName val="099"/>
      <sheetName val="098"/>
      <sheetName val="097"/>
      <sheetName val="096"/>
      <sheetName val="095"/>
      <sheetName val="094"/>
      <sheetName val="093"/>
      <sheetName val="092"/>
      <sheetName val="091"/>
      <sheetName val="090"/>
      <sheetName val="089"/>
      <sheetName val="088"/>
      <sheetName val="087"/>
      <sheetName val="086"/>
      <sheetName val="085"/>
      <sheetName val="084"/>
      <sheetName val="083"/>
      <sheetName val="082"/>
      <sheetName val="081"/>
      <sheetName val="080"/>
      <sheetName val="079"/>
      <sheetName val="078"/>
      <sheetName val="077"/>
      <sheetName val="076"/>
      <sheetName val="075"/>
      <sheetName val="074"/>
      <sheetName val="073"/>
      <sheetName val="072"/>
      <sheetName val="071"/>
      <sheetName val="070"/>
      <sheetName val="069"/>
      <sheetName val="068"/>
      <sheetName val="067"/>
      <sheetName val="066"/>
      <sheetName val="065"/>
      <sheetName val="064"/>
      <sheetName val="063"/>
      <sheetName val="062"/>
      <sheetName val="061"/>
      <sheetName val="060"/>
      <sheetName val="059"/>
      <sheetName val="058"/>
      <sheetName val="057"/>
      <sheetName val="056"/>
      <sheetName val="055"/>
      <sheetName val="054"/>
      <sheetName val="053"/>
      <sheetName val="052"/>
      <sheetName val="051"/>
      <sheetName val="050"/>
      <sheetName val="049"/>
      <sheetName val="048"/>
      <sheetName val="047"/>
      <sheetName val="046"/>
      <sheetName val="045"/>
      <sheetName val="044"/>
      <sheetName val="043"/>
      <sheetName val="042"/>
      <sheetName val="041"/>
      <sheetName val="040"/>
      <sheetName val="039"/>
      <sheetName val="038"/>
      <sheetName val="037"/>
      <sheetName val="036"/>
      <sheetName val="035"/>
      <sheetName val="034"/>
      <sheetName val="033"/>
      <sheetName val="032"/>
      <sheetName val="031"/>
      <sheetName val="030"/>
      <sheetName val="029"/>
      <sheetName val="028"/>
      <sheetName val="027"/>
      <sheetName val="026"/>
      <sheetName val="025"/>
      <sheetName val="024"/>
      <sheetName val="023"/>
      <sheetName val="022"/>
      <sheetName val="021"/>
      <sheetName val="020"/>
      <sheetName val="019"/>
      <sheetName val="018"/>
      <sheetName val="017"/>
      <sheetName val="016"/>
      <sheetName val="015"/>
      <sheetName val="014"/>
      <sheetName val="013"/>
      <sheetName val="012"/>
      <sheetName val="011"/>
      <sheetName val="010"/>
      <sheetName val="009"/>
      <sheetName val="008"/>
      <sheetName val="007"/>
      <sheetName val="006"/>
      <sheetName val="005"/>
      <sheetName val="004"/>
      <sheetName val="003"/>
      <sheetName val="002"/>
      <sheetName val="0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>
        <row r="11">
          <cell r="B11">
            <v>2</v>
          </cell>
          <cell r="C11" t="str">
            <v>pc/s</v>
          </cell>
          <cell r="D11" t="str">
            <v>Battery 3SM Motolite Gold</v>
          </cell>
        </row>
        <row r="34">
          <cell r="C34" t="str">
            <v>Engr. Ramon Sandil</v>
          </cell>
          <cell r="J34" t="str">
            <v>MC Villabroza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LL PALAWAN ISSUED"/>
      <sheetName val="ALL PALAWAN ISSUED CBPP"/>
      <sheetName val="ALL PALAWAN ISSUED CBPP (2)"/>
      <sheetName val="SW-Petron"/>
      <sheetName val="SW-TOTAL"/>
      <sheetName val="Sheet3"/>
      <sheetName val="PAL CARGO"/>
      <sheetName val="Sheet1 (2)"/>
      <sheetName val="PHILTOUGH"/>
      <sheetName val="JERSON"/>
      <sheetName val="WIRTGEN "/>
      <sheetName val="WIRTGEN2 "/>
      <sheetName val="MEYNARD"/>
      <sheetName val="MAERSK LINE DETENTION PAYABLES"/>
      <sheetName val="HH ALL"/>
      <sheetName val="EDITED"/>
      <sheetName val="JEPEE"/>
      <sheetName val="MERIDIAN"/>
      <sheetName val="Sheet5"/>
      <sheetName val="HRM"/>
      <sheetName val="WIRTGEN (2)"/>
      <sheetName val="WIRTGEN"/>
      <sheetName val="F &amp; E"/>
      <sheetName val="WESTERN"/>
      <sheetName val="PPAS"/>
      <sheetName val="PRENTICE"/>
      <sheetName val="MIDTOWN"/>
      <sheetName val="GMG"/>
      <sheetName val="MORETA"/>
      <sheetName val="Sheet1"/>
      <sheetName val="PAYMENT DATE"/>
      <sheetName val="RECON"/>
      <sheetName val="PETRON CORP"/>
      <sheetName val="Inframachineries"/>
      <sheetName val="Sheet4"/>
      <sheetName val="JENCEL"/>
      <sheetName val="Avantgarde"/>
      <sheetName val="ARES GERALD"/>
      <sheetName val="GOMA VULCANIZING"/>
      <sheetName val="DENNIS TOOL"/>
      <sheetName val="SLICK SILER"/>
      <sheetName val="LEA VULCANISING"/>
      <sheetName val="GOLDEN WHEEL"/>
      <sheetName val="SINOEQUIP"/>
      <sheetName val="TOPLINE"/>
      <sheetName val="CBPP"/>
      <sheetName val="MJ"/>
      <sheetName val="PRIMEQUEST"/>
      <sheetName val="BRIGHTON"/>
      <sheetName val="Doods"/>
      <sheetName val="UNICO"/>
      <sheetName val="Dikee boy"/>
      <sheetName val="MEGACOM"/>
      <sheetName val="Anonas"/>
      <sheetName val="FAST TECH"/>
      <sheetName val="BALINTAWAK"/>
      <sheetName val="CESAR "/>
      <sheetName val="A3"/>
      <sheetName val="ZAB"/>
      <sheetName val="ASCRETE"/>
      <sheetName val="INTERBATCH"/>
      <sheetName val="New Colossal"/>
      <sheetName val="New iloilo"/>
      <sheetName val="HONG CHIU"/>
      <sheetName val="FITZGERALD"/>
      <sheetName val="Tri-star"/>
      <sheetName val="Lubritek"/>
      <sheetName val="FGN"/>
      <sheetName val="Solid Gas"/>
      <sheetName val="LINDE"/>
      <sheetName val="LJB"/>
      <sheetName val="Highland"/>
      <sheetName val="GDR "/>
      <sheetName val="Goodmorning"/>
      <sheetName val="Primar"/>
      <sheetName val="Jefkinah"/>
      <sheetName val="Melchor"/>
      <sheetName val="Sky world"/>
      <sheetName val="JOhn Carl"/>
      <sheetName val="Lipa Isuzu"/>
      <sheetName val="CL Nerpiol"/>
      <sheetName val="Doxa"/>
      <sheetName val="Maxima"/>
      <sheetName val="Civic (2)"/>
      <sheetName val="Civic"/>
      <sheetName val="SEVERO"/>
      <sheetName val="Lubri Chem"/>
      <sheetName val="D'Lucky"/>
      <sheetName val="Taiyang"/>
      <sheetName val="Far Eastern"/>
      <sheetName val="Sheet2"/>
      <sheetName val="PETRON CORP (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>
        <row r="25">
          <cell r="D25" t="str">
            <v>RS15-010040</v>
          </cell>
        </row>
      </sheetData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3246F9-4BC0-45B5-848D-A9A8092BEBBF}">
  <sheetPr>
    <tabColor rgb="FF00B0F0"/>
  </sheetPr>
  <dimension ref="A1:P45"/>
  <sheetViews>
    <sheetView view="pageBreakPreview" zoomScale="90" zoomScaleNormal="100" zoomScaleSheetLayoutView="90" workbookViewId="0">
      <selection activeCell="D18" sqref="D18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135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45456</v>
      </c>
      <c r="L4" s="17"/>
      <c r="P4" s="4"/>
    </row>
    <row r="5" spans="1:16" s="3" customFormat="1" ht="30" customHeight="1">
      <c r="B5" s="12" t="s">
        <v>8</v>
      </c>
      <c r="C5" s="132" t="s">
        <v>378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800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148000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148000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6013E5-ED9B-4ED1-84C9-E795E5A70470}">
  <sheetPr>
    <tabColor rgb="FF00B0F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126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45439</v>
      </c>
      <c r="L4" s="17"/>
      <c r="P4" s="4"/>
    </row>
    <row r="5" spans="1:16" s="3" customFormat="1" ht="30" customHeight="1">
      <c r="B5" s="12" t="s">
        <v>8</v>
      </c>
      <c r="C5" s="132" t="s">
        <v>367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92500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92500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BF4C77-2501-4A1E-AE19-1959CB841CC4}">
  <sheetPr codeName="Sheet81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10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106</v>
      </c>
      <c r="D4" s="10"/>
      <c r="E4" s="10"/>
      <c r="F4" s="14" t="s">
        <v>7</v>
      </c>
      <c r="G4" s="15"/>
      <c r="H4" s="15"/>
      <c r="I4" s="15"/>
      <c r="J4" s="16">
        <v>45302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108</v>
      </c>
      <c r="E10" s="157"/>
      <c r="F10" s="39"/>
      <c r="G10" s="40"/>
      <c r="H10" s="41"/>
      <c r="I10" s="42"/>
      <c r="J10" s="91"/>
      <c r="P10" s="78"/>
    </row>
    <row r="11" spans="1:16" s="3" customFormat="1" ht="20.100000000000001" customHeight="1">
      <c r="B11" s="36"/>
      <c r="C11" s="37"/>
      <c r="D11" s="165" t="s">
        <v>116</v>
      </c>
      <c r="E11" s="157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6F5E9F-2D1C-4128-9C9F-3339668D0FDC}">
  <sheetPr codeName="Sheet82">
    <tabColor rgb="FFC00000"/>
  </sheetPr>
  <dimension ref="A1:P45"/>
  <sheetViews>
    <sheetView view="pageBreakPreview" zoomScale="90" zoomScaleNormal="100" zoomScaleSheetLayoutView="90" workbookViewId="0">
      <selection activeCell="B1" sqref="B1:F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9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45302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113</v>
      </c>
      <c r="E10" s="157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115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8"/>
      <c r="E26" s="159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60"/>
      <c r="E27" s="161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5" t="s">
        <v>114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B42:C42"/>
    <mergeCell ref="B26:B27"/>
    <mergeCell ref="C26:C27"/>
    <mergeCell ref="D26:E27"/>
    <mergeCell ref="F26:G27"/>
    <mergeCell ref="J26:J27"/>
    <mergeCell ref="C34:D34"/>
    <mergeCell ref="B1:F1"/>
    <mergeCell ref="G1:J1"/>
    <mergeCell ref="C3:E3"/>
    <mergeCell ref="D9:E9"/>
    <mergeCell ref="F9:H9"/>
    <mergeCell ref="D10:E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7050-9610-4253-9449-AA48157BF6E6}">
  <sheetPr codeName="Sheet83">
    <tabColor rgb="FF00B0F0"/>
  </sheetPr>
  <dimension ref="A1:P47"/>
  <sheetViews>
    <sheetView view="pageBreakPreview" topLeftCell="A10" zoomScaleNormal="100" zoomScaleSheetLayoutView="100" workbookViewId="0">
      <selection activeCell="F20" sqref="F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1.5703125" style="5" bestFit="1" customWidth="1"/>
    <col min="14" max="14" width="17.85546875" style="5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89">
        <f>5.3*443</f>
        <v>2347.9</v>
      </c>
      <c r="O1" s="4">
        <f>3233.9-N1</f>
        <v>886</v>
      </c>
    </row>
    <row r="2" spans="1:16" ht="15" thickTop="1"/>
    <row r="3" spans="1:16" s="3" customFormat="1" ht="30" customHeight="1">
      <c r="B3" s="9" t="s">
        <v>2</v>
      </c>
      <c r="C3" s="131" t="s">
        <v>92</v>
      </c>
      <c r="D3" s="131"/>
      <c r="E3" s="131"/>
      <c r="F3" s="11" t="s">
        <v>4</v>
      </c>
      <c r="G3" s="11"/>
      <c r="H3" s="11"/>
      <c r="I3" s="11"/>
      <c r="J3" s="77">
        <v>8</v>
      </c>
      <c r="O3" s="4"/>
    </row>
    <row r="4" spans="1:16" s="3" customFormat="1" ht="30" customHeight="1">
      <c r="B4" s="12" t="s">
        <v>5</v>
      </c>
      <c r="C4" s="13" t="s">
        <v>74</v>
      </c>
      <c r="D4" s="10"/>
      <c r="E4" s="10"/>
      <c r="F4" s="14" t="s">
        <v>7</v>
      </c>
      <c r="G4" s="15"/>
      <c r="H4" s="15"/>
      <c r="I4" s="15"/>
      <c r="J4" s="16">
        <v>45302</v>
      </c>
      <c r="L4" s="17"/>
      <c r="P4" s="4">
        <f>2347.9+2528.1+2347.9</f>
        <v>7223.9</v>
      </c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>
        <f>P4-7250</f>
        <v>-26.100000000000364</v>
      </c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130</v>
      </c>
      <c r="C10" s="37" t="s">
        <v>47</v>
      </c>
      <c r="D10" s="49" t="s">
        <v>90</v>
      </c>
      <c r="E10" s="38"/>
      <c r="F10" s="39">
        <v>100</v>
      </c>
      <c r="G10" s="40"/>
      <c r="H10" s="41"/>
      <c r="I10" s="42"/>
      <c r="J10" s="43">
        <f>F10*B10</f>
        <v>13000</v>
      </c>
      <c r="L10" s="23"/>
      <c r="P10" s="78"/>
    </row>
    <row r="11" spans="1:16" s="3" customFormat="1" ht="20.100000000000001" customHeight="1">
      <c r="B11" s="36">
        <v>2</v>
      </c>
      <c r="C11" s="37" t="s">
        <v>47</v>
      </c>
      <c r="D11" s="79" t="s">
        <v>91</v>
      </c>
      <c r="E11" s="38"/>
      <c r="F11" s="39">
        <v>300</v>
      </c>
      <c r="G11" s="40"/>
      <c r="H11" s="41"/>
      <c r="I11" s="42"/>
      <c r="J11" s="43">
        <f t="shared" ref="J11" si="0">F11*B11</f>
        <v>600</v>
      </c>
      <c r="L11" s="23"/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L12" s="23"/>
      <c r="M12" s="5"/>
      <c r="O12" s="4"/>
    </row>
    <row r="13" spans="1:16" s="3" customFormat="1" ht="20.100000000000001" customHeight="1">
      <c r="B13" s="36"/>
      <c r="C13" s="37"/>
      <c r="D13" s="80" t="s">
        <v>89</v>
      </c>
      <c r="E13" s="38"/>
      <c r="F13" s="39"/>
      <c r="G13" s="45"/>
      <c r="H13" s="41"/>
      <c r="I13" s="42"/>
      <c r="J13" s="43"/>
      <c r="L13" s="23"/>
      <c r="M13" s="5"/>
      <c r="O13" s="4"/>
      <c r="P13" s="81"/>
    </row>
    <row r="14" spans="1:16" s="3" customFormat="1" ht="20.100000000000001" customHeight="1">
      <c r="B14" s="36">
        <v>500</v>
      </c>
      <c r="C14" s="37" t="s">
        <v>93</v>
      </c>
      <c r="D14" s="49" t="s">
        <v>94</v>
      </c>
      <c r="E14" s="38"/>
      <c r="F14" s="39">
        <v>215</v>
      </c>
      <c r="G14" s="45"/>
      <c r="H14" s="41"/>
      <c r="I14" s="42"/>
      <c r="J14" s="43">
        <f>F14*B14</f>
        <v>107500</v>
      </c>
      <c r="L14" s="23"/>
      <c r="M14" s="5">
        <f>9*2400</f>
        <v>21600</v>
      </c>
      <c r="N14" s="3">
        <f>14*2400</f>
        <v>33600</v>
      </c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>
        <f>1200*5</f>
        <v>6000</v>
      </c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80" t="s">
        <v>95</v>
      </c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80" t="s">
        <v>96</v>
      </c>
      <c r="E18" s="52"/>
      <c r="F18" s="39"/>
      <c r="G18" s="45"/>
      <c r="H18" s="41"/>
      <c r="I18" s="42"/>
      <c r="J18" s="43"/>
      <c r="L18" s="23"/>
      <c r="M18" s="8">
        <f>200*50</f>
        <v>10000</v>
      </c>
      <c r="N18" s="4"/>
      <c r="O18" s="4"/>
    </row>
    <row r="19" spans="2:15" s="3" customFormat="1" ht="20.100000000000001" customHeight="1">
      <c r="B19" s="36">
        <v>1</v>
      </c>
      <c r="C19" s="37" t="s">
        <v>97</v>
      </c>
      <c r="D19" s="49" t="s">
        <v>98</v>
      </c>
      <c r="E19" s="53"/>
      <c r="F19" s="56">
        <v>12500</v>
      </c>
      <c r="G19" s="45"/>
      <c r="H19" s="41"/>
      <c r="I19" s="42"/>
      <c r="J19" s="43">
        <f>F19*B19</f>
        <v>12500</v>
      </c>
      <c r="M19" s="5"/>
      <c r="N19" s="4">
        <f>30*200</f>
        <v>6000</v>
      </c>
      <c r="O19" s="4"/>
    </row>
    <row r="20" spans="2:15" s="3" customFormat="1" ht="20.100000000000001" customHeight="1">
      <c r="B20" s="36">
        <v>10</v>
      </c>
      <c r="C20" s="37" t="s">
        <v>47</v>
      </c>
      <c r="D20" s="49" t="s">
        <v>99</v>
      </c>
      <c r="E20" s="52"/>
      <c r="F20" s="56">
        <v>680</v>
      </c>
      <c r="G20" s="45"/>
      <c r="H20" s="41"/>
      <c r="I20" s="42"/>
      <c r="J20" s="43">
        <f>F20*B20</f>
        <v>6800</v>
      </c>
      <c r="M20" s="5">
        <v>3</v>
      </c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>
        <v>2</v>
      </c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>
        <v>6</v>
      </c>
      <c r="O22" s="4"/>
    </row>
    <row r="23" spans="2:15" s="3" customFormat="1" ht="20.100000000000001" customHeight="1">
      <c r="B23" s="36"/>
      <c r="C23" s="37"/>
      <c r="D23" s="49"/>
      <c r="E23" s="52"/>
      <c r="F23" s="56"/>
      <c r="G23" s="45"/>
      <c r="H23" s="41"/>
      <c r="I23" s="42"/>
      <c r="J23" s="43"/>
      <c r="M23" s="5">
        <v>15</v>
      </c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>
        <f>SUM(M20:M23)</f>
        <v>26</v>
      </c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140400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C3F93E-B092-410B-B6F8-5371C98C8CB8}">
  <sheetPr codeName="Sheet84">
    <tabColor rgb="FF00B0F0"/>
  </sheetPr>
  <dimension ref="A1:P47"/>
  <sheetViews>
    <sheetView view="pageBreakPreview" topLeftCell="A4" zoomScaleNormal="100" zoomScaleSheetLayoutView="100" workbookViewId="0">
      <selection activeCell="J17" sqref="J1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2" style="5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76</v>
      </c>
      <c r="D3" s="131"/>
      <c r="E3" s="131"/>
      <c r="F3" s="11" t="s">
        <v>4</v>
      </c>
      <c r="G3" s="11"/>
      <c r="H3" s="11"/>
      <c r="I3" s="11"/>
      <c r="J3" s="77">
        <v>7</v>
      </c>
      <c r="O3" s="4"/>
    </row>
    <row r="4" spans="1:16" s="3" customFormat="1" ht="30" customHeight="1">
      <c r="B4" s="12" t="s">
        <v>5</v>
      </c>
      <c r="C4" s="13" t="s">
        <v>74</v>
      </c>
      <c r="D4" s="10"/>
      <c r="E4" s="10"/>
      <c r="F4" s="14" t="s">
        <v>7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500</v>
      </c>
      <c r="C10" s="37" t="s">
        <v>47</v>
      </c>
      <c r="D10" s="49" t="s">
        <v>77</v>
      </c>
      <c r="E10" s="38"/>
      <c r="F10" s="39">
        <v>335</v>
      </c>
      <c r="G10" s="40"/>
      <c r="H10" s="41"/>
      <c r="I10" s="42"/>
      <c r="J10" s="43">
        <f>F10*B10</f>
        <v>167500</v>
      </c>
      <c r="L10" s="23">
        <f>220*500</f>
        <v>110000</v>
      </c>
      <c r="M10" s="98">
        <f>J10-L10</f>
        <v>57500</v>
      </c>
      <c r="P10" s="78"/>
    </row>
    <row r="11" spans="1:16" s="3" customFormat="1" ht="20.100000000000001" customHeight="1">
      <c r="B11" s="36">
        <v>20</v>
      </c>
      <c r="C11" s="37" t="s">
        <v>78</v>
      </c>
      <c r="D11" s="79" t="s">
        <v>79</v>
      </c>
      <c r="E11" s="38"/>
      <c r="F11" s="39">
        <v>90</v>
      </c>
      <c r="G11" s="40"/>
      <c r="H11" s="41"/>
      <c r="I11" s="42"/>
      <c r="J11" s="43">
        <f t="shared" ref="J11:J18" si="0">F11*B11</f>
        <v>1800</v>
      </c>
      <c r="L11" s="23">
        <f>500*250</f>
        <v>125000</v>
      </c>
      <c r="M11" s="98">
        <f>J10-L11</f>
        <v>42500</v>
      </c>
      <c r="N11" s="5"/>
      <c r="P11" s="4"/>
    </row>
    <row r="12" spans="1:16" s="3" customFormat="1" ht="20.100000000000001" customHeight="1">
      <c r="B12" s="36">
        <v>50</v>
      </c>
      <c r="C12" s="37" t="s">
        <v>78</v>
      </c>
      <c r="D12" s="49" t="s">
        <v>80</v>
      </c>
      <c r="E12" s="38"/>
      <c r="F12" s="39">
        <v>90</v>
      </c>
      <c r="G12" s="40"/>
      <c r="H12" s="41"/>
      <c r="I12" s="42"/>
      <c r="J12" s="43">
        <f t="shared" si="0"/>
        <v>4500</v>
      </c>
      <c r="L12" s="23"/>
      <c r="M12" s="5"/>
      <c r="O12" s="4"/>
    </row>
    <row r="13" spans="1:16" s="3" customFormat="1" ht="20.100000000000001" customHeight="1">
      <c r="B13" s="36">
        <v>35</v>
      </c>
      <c r="C13" s="37" t="s">
        <v>47</v>
      </c>
      <c r="D13" s="49" t="s">
        <v>81</v>
      </c>
      <c r="E13" s="38"/>
      <c r="F13" s="39">
        <v>1350</v>
      </c>
      <c r="G13" s="45"/>
      <c r="H13" s="41"/>
      <c r="I13" s="42"/>
      <c r="J13" s="43">
        <f t="shared" si="0"/>
        <v>47250</v>
      </c>
      <c r="L13" s="23"/>
      <c r="M13" s="5"/>
      <c r="O13" s="4"/>
      <c r="P13" s="81"/>
    </row>
    <row r="14" spans="1:16" s="3" customFormat="1" ht="20.100000000000001" customHeight="1">
      <c r="B14" s="36">
        <v>2</v>
      </c>
      <c r="C14" s="37" t="s">
        <v>47</v>
      </c>
      <c r="D14" s="49" t="s">
        <v>82</v>
      </c>
      <c r="E14" s="38"/>
      <c r="F14" s="39">
        <v>400</v>
      </c>
      <c r="G14" s="45"/>
      <c r="H14" s="41"/>
      <c r="I14" s="42"/>
      <c r="J14" s="43">
        <f t="shared" si="0"/>
        <v>800</v>
      </c>
      <c r="L14" s="23"/>
      <c r="M14" s="5"/>
      <c r="O14" s="4"/>
    </row>
    <row r="15" spans="1:16" s="3" customFormat="1" ht="20.100000000000001" customHeight="1">
      <c r="B15" s="36">
        <v>2</v>
      </c>
      <c r="C15" s="37" t="s">
        <v>47</v>
      </c>
      <c r="D15" s="49" t="s">
        <v>83</v>
      </c>
      <c r="E15" s="38"/>
      <c r="F15" s="39">
        <v>420</v>
      </c>
      <c r="G15" s="45"/>
      <c r="H15" s="41"/>
      <c r="I15" s="42"/>
      <c r="J15" s="43">
        <f t="shared" si="0"/>
        <v>840</v>
      </c>
      <c r="L15" s="23"/>
      <c r="M15" s="5"/>
      <c r="O15" s="4"/>
    </row>
    <row r="16" spans="1:16" s="3" customFormat="1" ht="20.100000000000001" customHeight="1">
      <c r="B16" s="36">
        <v>4</v>
      </c>
      <c r="C16" s="37" t="s">
        <v>47</v>
      </c>
      <c r="D16" s="49" t="s">
        <v>84</v>
      </c>
      <c r="E16" s="38"/>
      <c r="F16" s="39">
        <v>300</v>
      </c>
      <c r="G16" s="45"/>
      <c r="H16" s="41"/>
      <c r="I16" s="42"/>
      <c r="J16" s="43">
        <f t="shared" si="0"/>
        <v>1200</v>
      </c>
      <c r="L16" s="82"/>
      <c r="M16" s="5"/>
      <c r="O16" s="4"/>
    </row>
    <row r="17" spans="2:15" s="3" customFormat="1" ht="20.100000000000001" customHeight="1">
      <c r="B17" s="36">
        <v>10</v>
      </c>
      <c r="C17" s="37" t="s">
        <v>47</v>
      </c>
      <c r="D17" s="49" t="s">
        <v>85</v>
      </c>
      <c r="E17" s="38"/>
      <c r="F17" s="39">
        <v>85</v>
      </c>
      <c r="G17" s="45"/>
      <c r="H17" s="41"/>
      <c r="I17" s="42"/>
      <c r="J17" s="43">
        <f t="shared" si="0"/>
        <v>850</v>
      </c>
      <c r="L17" s="23"/>
      <c r="M17" s="5"/>
      <c r="N17" s="4"/>
      <c r="O17" s="4"/>
    </row>
    <row r="18" spans="2:15" s="3" customFormat="1" ht="20.100000000000001" customHeight="1">
      <c r="B18" s="36">
        <v>50</v>
      </c>
      <c r="C18" s="37" t="s">
        <v>78</v>
      </c>
      <c r="D18" s="49" t="s">
        <v>86</v>
      </c>
      <c r="E18" s="52"/>
      <c r="F18" s="39">
        <v>150</v>
      </c>
      <c r="G18" s="45"/>
      <c r="H18" s="41"/>
      <c r="I18" s="42"/>
      <c r="J18" s="43">
        <f t="shared" si="0"/>
        <v>7500</v>
      </c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80" t="s">
        <v>3</v>
      </c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>
        <v>50</v>
      </c>
      <c r="C22" s="37" t="s">
        <v>16</v>
      </c>
      <c r="D22" s="49" t="s">
        <v>87</v>
      </c>
      <c r="E22" s="50"/>
      <c r="F22" s="56">
        <v>600</v>
      </c>
      <c r="G22" s="45"/>
      <c r="H22" s="41"/>
      <c r="I22" s="42"/>
      <c r="J22" s="43">
        <f>F22*B22</f>
        <v>30000</v>
      </c>
      <c r="M22" s="5"/>
      <c r="O22" s="4"/>
    </row>
    <row r="23" spans="2:15" s="3" customFormat="1" ht="20.100000000000001" customHeight="1">
      <c r="B23" s="36">
        <v>100</v>
      </c>
      <c r="C23" s="37" t="s">
        <v>16</v>
      </c>
      <c r="D23" s="49" t="s">
        <v>88</v>
      </c>
      <c r="E23" s="52"/>
      <c r="F23" s="56">
        <v>700</v>
      </c>
      <c r="G23" s="45"/>
      <c r="H23" s="41"/>
      <c r="I23" s="42"/>
      <c r="J23" s="43">
        <f>F23*B23</f>
        <v>70000</v>
      </c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332240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65BFDE-F366-4568-8FEB-82135DAB8C36}">
  <sheetPr codeName="Sheet85">
    <tabColor rgb="FF00B0F0"/>
  </sheetPr>
  <dimension ref="A1:P47"/>
  <sheetViews>
    <sheetView view="pageBreakPreview" topLeftCell="B4" zoomScaleNormal="100" zoomScaleSheetLayoutView="100" workbookViewId="0">
      <selection activeCell="J10" sqref="J10:J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56</v>
      </c>
      <c r="D3" s="154"/>
      <c r="E3" s="154"/>
      <c r="F3" s="11" t="s">
        <v>4</v>
      </c>
      <c r="G3" s="11"/>
      <c r="H3" s="11"/>
      <c r="I3" s="11"/>
      <c r="J3" s="77">
        <v>6</v>
      </c>
      <c r="O3" s="4"/>
    </row>
    <row r="4" spans="1:16" s="3" customFormat="1" ht="30" customHeight="1">
      <c r="B4" s="12" t="s">
        <v>5</v>
      </c>
      <c r="C4" s="13" t="s">
        <v>45</v>
      </c>
      <c r="D4" s="10"/>
      <c r="E4" s="10"/>
      <c r="F4" s="14" t="s">
        <v>7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2" t="s">
        <v>8</v>
      </c>
      <c r="C5" s="132" t="s">
        <v>73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5</v>
      </c>
      <c r="C10" s="37" t="s">
        <v>47</v>
      </c>
      <c r="D10" s="49" t="s">
        <v>69</v>
      </c>
      <c r="E10" s="38"/>
      <c r="F10" s="39">
        <v>160</v>
      </c>
      <c r="G10" s="40"/>
      <c r="H10" s="41"/>
      <c r="I10" s="42"/>
      <c r="J10" s="43">
        <f>F10*B10</f>
        <v>800</v>
      </c>
      <c r="L10" s="23"/>
      <c r="P10" s="78"/>
    </row>
    <row r="11" spans="1:16" s="3" customFormat="1" ht="20.100000000000001" customHeight="1">
      <c r="B11" s="36">
        <v>5</v>
      </c>
      <c r="C11" s="37" t="s">
        <v>47</v>
      </c>
      <c r="D11" s="79" t="s">
        <v>70</v>
      </c>
      <c r="E11" s="38"/>
      <c r="F11" s="39">
        <v>160</v>
      </c>
      <c r="G11" s="40"/>
      <c r="H11" s="41"/>
      <c r="I11" s="42"/>
      <c r="J11" s="43">
        <f t="shared" ref="J11:J13" si="0">F11*B11</f>
        <v>800</v>
      </c>
      <c r="L11" s="23"/>
      <c r="M11" s="5"/>
      <c r="N11" s="5"/>
      <c r="P11" s="4"/>
    </row>
    <row r="12" spans="1:16" s="3" customFormat="1" ht="20.100000000000001" customHeight="1">
      <c r="B12" s="36">
        <v>5</v>
      </c>
      <c r="C12" s="37" t="s">
        <v>47</v>
      </c>
      <c r="D12" s="49" t="s">
        <v>71</v>
      </c>
      <c r="E12" s="38"/>
      <c r="F12" s="39">
        <v>160</v>
      </c>
      <c r="G12" s="40"/>
      <c r="H12" s="41"/>
      <c r="I12" s="42"/>
      <c r="J12" s="43">
        <f t="shared" si="0"/>
        <v>800</v>
      </c>
      <c r="L12" s="23"/>
      <c r="M12" s="5"/>
      <c r="O12" s="4"/>
    </row>
    <row r="13" spans="1:16" s="3" customFormat="1" ht="20.100000000000001" customHeight="1">
      <c r="B13" s="36">
        <v>5</v>
      </c>
      <c r="C13" s="37" t="s">
        <v>47</v>
      </c>
      <c r="D13" s="49" t="s">
        <v>72</v>
      </c>
      <c r="E13" s="38"/>
      <c r="F13" s="39">
        <v>160</v>
      </c>
      <c r="G13" s="45"/>
      <c r="H13" s="41"/>
      <c r="I13" s="42"/>
      <c r="J13" s="43">
        <f t="shared" si="0"/>
        <v>800</v>
      </c>
      <c r="L13" s="2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O14" s="4"/>
    </row>
    <row r="15" spans="1:16" s="3" customFormat="1" ht="20.100000000000001" customHeight="1">
      <c r="B15" s="36"/>
      <c r="C15" s="37"/>
      <c r="D15" s="80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3200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A32261-BA50-4B90-A320-94E5B9B63609}">
  <sheetPr codeName="Sheet86">
    <tabColor rgb="FFC00000"/>
  </sheetPr>
  <dimension ref="A1:P45"/>
  <sheetViews>
    <sheetView view="pageBreakPreview" topLeftCell="B1" zoomScaleNormal="100" zoomScaleSheetLayoutView="100" workbookViewId="0">
      <selection activeCell="D10" sqref="D10:E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5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65</v>
      </c>
      <c r="D4" s="10"/>
      <c r="E4" s="10"/>
      <c r="F4" s="14" t="s">
        <v>7</v>
      </c>
      <c r="G4" s="15"/>
      <c r="H4" s="15"/>
      <c r="I4" s="15"/>
      <c r="J4" s="16">
        <v>45301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67</v>
      </c>
      <c r="E10" s="157"/>
      <c r="F10" s="39"/>
      <c r="G10" s="40"/>
      <c r="H10" s="41"/>
      <c r="I10" s="42"/>
      <c r="J10" s="43">
        <v>1349.7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57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1399.7</v>
      </c>
      <c r="L26" s="99">
        <f>J26-1500</f>
        <v>-100.29999999999995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64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6B1196-D8C2-4E8E-9AE2-A0656A290F51}">
  <sheetPr codeName="Sheet87"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49</v>
      </c>
      <c r="D3" s="154"/>
      <c r="E3" s="154"/>
      <c r="F3" s="11" t="s">
        <v>4</v>
      </c>
      <c r="G3" s="11"/>
      <c r="H3" s="11"/>
      <c r="I3" s="11"/>
      <c r="J3" s="77">
        <v>4</v>
      </c>
      <c r="O3" s="4"/>
    </row>
    <row r="4" spans="1:16" s="3" customFormat="1" ht="30" customHeight="1">
      <c r="B4" s="12" t="s">
        <v>5</v>
      </c>
      <c r="C4" s="13" t="s">
        <v>51</v>
      </c>
      <c r="D4" s="10"/>
      <c r="E4" s="10"/>
      <c r="F4" s="14" t="s">
        <v>7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</v>
      </c>
      <c r="C10" s="37" t="s">
        <v>50</v>
      </c>
      <c r="D10" s="49" t="s">
        <v>52</v>
      </c>
      <c r="E10" s="38"/>
      <c r="F10" s="39">
        <v>5000</v>
      </c>
      <c r="G10" s="40"/>
      <c r="H10" s="41"/>
      <c r="I10" s="42"/>
      <c r="J10" s="43">
        <f>F10*B10</f>
        <v>5000</v>
      </c>
      <c r="L10" s="23"/>
      <c r="P10" s="78"/>
    </row>
    <row r="11" spans="1:16" s="3" customFormat="1" ht="20.100000000000001" customHeight="1">
      <c r="B11" s="36">
        <v>1</v>
      </c>
      <c r="C11" s="37" t="s">
        <v>50</v>
      </c>
      <c r="D11" s="49" t="s">
        <v>53</v>
      </c>
      <c r="E11" s="38"/>
      <c r="F11" s="39">
        <v>5000</v>
      </c>
      <c r="G11" s="40"/>
      <c r="H11" s="41"/>
      <c r="I11" s="42"/>
      <c r="J11" s="43">
        <f t="shared" ref="J11:J14" si="0">F11*B11</f>
        <v>5000</v>
      </c>
      <c r="L11" s="23"/>
      <c r="M11" s="5"/>
      <c r="N11" s="5"/>
      <c r="P11" s="4"/>
    </row>
    <row r="12" spans="1:16" s="3" customFormat="1" ht="20.100000000000001" customHeight="1">
      <c r="B12" s="36">
        <v>1</v>
      </c>
      <c r="C12" s="37" t="s">
        <v>50</v>
      </c>
      <c r="D12" s="49" t="s">
        <v>54</v>
      </c>
      <c r="E12" s="38"/>
      <c r="F12" s="39">
        <v>5000</v>
      </c>
      <c r="G12" s="40"/>
      <c r="H12" s="41"/>
      <c r="I12" s="42"/>
      <c r="J12" s="43">
        <f t="shared" si="0"/>
        <v>5000</v>
      </c>
      <c r="L12" s="23"/>
      <c r="M12" s="5"/>
      <c r="O12" s="4"/>
    </row>
    <row r="13" spans="1:16" s="3" customFormat="1" ht="20.100000000000001" customHeight="1">
      <c r="B13" s="36">
        <v>1</v>
      </c>
      <c r="C13" s="37" t="s">
        <v>50</v>
      </c>
      <c r="D13" s="49" t="s">
        <v>55</v>
      </c>
      <c r="E13" s="38"/>
      <c r="F13" s="39">
        <v>5000</v>
      </c>
      <c r="G13" s="45"/>
      <c r="H13" s="41"/>
      <c r="I13" s="42"/>
      <c r="J13" s="43">
        <f t="shared" si="0"/>
        <v>5000</v>
      </c>
      <c r="L13" s="23"/>
      <c r="M13" s="5"/>
      <c r="O13" s="4"/>
      <c r="P13" s="81"/>
    </row>
    <row r="14" spans="1:16" s="3" customFormat="1" ht="20.100000000000001" customHeight="1">
      <c r="B14" s="36">
        <v>1</v>
      </c>
      <c r="C14" s="37" t="s">
        <v>50</v>
      </c>
      <c r="D14" s="49" t="s">
        <v>118</v>
      </c>
      <c r="E14" s="38"/>
      <c r="F14" s="39">
        <v>5000</v>
      </c>
      <c r="G14" s="45"/>
      <c r="H14" s="41"/>
      <c r="I14" s="42"/>
      <c r="J14" s="43">
        <f t="shared" si="0"/>
        <v>5000</v>
      </c>
      <c r="L14" s="23"/>
      <c r="M14" s="5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23"/>
      <c r="M16" s="5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39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39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25000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D6139D-B3F0-4259-B75F-46EFD014194D}">
  <sheetPr codeName="Sheet88">
    <tabColor rgb="FF00B0F0"/>
  </sheetPr>
  <dimension ref="A1:P47"/>
  <sheetViews>
    <sheetView view="pageBreakPreview" topLeftCell="B3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56</v>
      </c>
      <c r="D3" s="154"/>
      <c r="E3" s="154"/>
      <c r="F3" s="11" t="s">
        <v>4</v>
      </c>
      <c r="G3" s="11"/>
      <c r="H3" s="11"/>
      <c r="I3" s="11"/>
      <c r="J3" s="77">
        <v>3</v>
      </c>
      <c r="O3" s="4"/>
    </row>
    <row r="4" spans="1:16" s="3" customFormat="1" ht="30" customHeight="1">
      <c r="B4" s="12" t="s">
        <v>5</v>
      </c>
      <c r="C4" s="13" t="s">
        <v>45</v>
      </c>
      <c r="D4" s="10"/>
      <c r="E4" s="10"/>
      <c r="F4" s="14" t="s">
        <v>7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2" t="s">
        <v>8</v>
      </c>
      <c r="C5" s="132" t="s">
        <v>68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10</v>
      </c>
      <c r="C10" s="37" t="s">
        <v>47</v>
      </c>
      <c r="D10" s="49" t="s">
        <v>48</v>
      </c>
      <c r="E10" s="38"/>
      <c r="F10" s="39">
        <v>160</v>
      </c>
      <c r="G10" s="40"/>
      <c r="H10" s="41"/>
      <c r="I10" s="42"/>
      <c r="J10" s="43">
        <f>F10*B10</f>
        <v>1600</v>
      </c>
      <c r="L10" s="23"/>
      <c r="P10" s="78"/>
    </row>
    <row r="11" spans="1:16" s="3" customFormat="1" ht="20.100000000000001" customHeight="1">
      <c r="B11" s="36"/>
      <c r="C11" s="37"/>
      <c r="D11" s="79"/>
      <c r="E11" s="38"/>
      <c r="F11" s="39"/>
      <c r="G11" s="40"/>
      <c r="H11" s="41"/>
      <c r="I11" s="42"/>
      <c r="J11" s="43"/>
      <c r="L11" s="23"/>
      <c r="M11" s="5"/>
      <c r="N11" s="5"/>
      <c r="P11" s="4"/>
    </row>
    <row r="12" spans="1:16" s="3" customFormat="1" ht="20.100000000000001" customHeight="1">
      <c r="B12" s="36"/>
      <c r="C12" s="37"/>
      <c r="D12" s="80"/>
      <c r="E12" s="38"/>
      <c r="F12" s="39"/>
      <c r="G12" s="40"/>
      <c r="H12" s="41"/>
      <c r="I12" s="42"/>
      <c r="J12" s="43"/>
      <c r="L12" s="2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2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O14" s="4"/>
    </row>
    <row r="15" spans="1:16" s="3" customFormat="1" ht="20.100000000000001" customHeight="1">
      <c r="B15" s="36"/>
      <c r="C15" s="37"/>
      <c r="D15" s="80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1600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14EF4-6FC2-493B-B66C-DE8D877C8630}">
  <sheetPr codeName="Sheet89">
    <tabColor rgb="FF0070C0"/>
  </sheetPr>
  <dimension ref="A1:P52"/>
  <sheetViews>
    <sheetView view="pageBreakPreview" zoomScale="80" zoomScaleNormal="100" zoomScaleSheetLayoutView="8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36</v>
      </c>
      <c r="D3" s="154"/>
      <c r="E3" s="154"/>
      <c r="F3" s="11" t="s">
        <v>4</v>
      </c>
      <c r="G3" s="11"/>
      <c r="H3" s="11"/>
      <c r="I3" s="11"/>
      <c r="J3" s="77">
        <v>2</v>
      </c>
      <c r="O3" s="4"/>
      <c r="P3" s="4"/>
    </row>
    <row r="4" spans="1:16" s="3" customFormat="1" ht="30" customHeight="1">
      <c r="B4" s="12" t="s">
        <v>5</v>
      </c>
      <c r="C4" s="13" t="s">
        <v>44</v>
      </c>
      <c r="D4" s="10"/>
      <c r="E4" s="10"/>
      <c r="F4" s="14" t="s">
        <v>7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2" t="s">
        <v>8</v>
      </c>
      <c r="C5" s="132" t="s">
        <v>35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30</v>
      </c>
      <c r="C10" s="37"/>
      <c r="D10" s="49" t="s">
        <v>37</v>
      </c>
      <c r="E10" s="38"/>
      <c r="F10" s="39">
        <v>4200</v>
      </c>
      <c r="G10" s="40"/>
      <c r="H10" s="41"/>
      <c r="I10" s="42"/>
      <c r="J10" s="43">
        <f>F10*B10</f>
        <v>126000</v>
      </c>
      <c r="M10" s="5"/>
      <c r="O10" s="4"/>
    </row>
    <row r="11" spans="1:16" s="3" customFormat="1" ht="20.100000000000001" customHeight="1">
      <c r="B11" s="36">
        <v>32</v>
      </c>
      <c r="C11" s="37"/>
      <c r="D11" s="49" t="s">
        <v>38</v>
      </c>
      <c r="E11" s="38"/>
      <c r="F11" s="39">
        <v>4200</v>
      </c>
      <c r="G11" s="45"/>
      <c r="H11" s="41"/>
      <c r="I11" s="42"/>
      <c r="J11" s="43">
        <f t="shared" ref="J11:J16" si="0">F11*B11</f>
        <v>134400</v>
      </c>
      <c r="M11" s="5"/>
      <c r="O11" s="4"/>
    </row>
    <row r="12" spans="1:16" s="3" customFormat="1" ht="20.100000000000001" customHeight="1">
      <c r="B12" s="36">
        <v>35</v>
      </c>
      <c r="C12" s="37"/>
      <c r="D12" s="49" t="s">
        <v>39</v>
      </c>
      <c r="E12" s="47"/>
      <c r="F12" s="39">
        <v>4200</v>
      </c>
      <c r="G12" s="45"/>
      <c r="H12" s="41"/>
      <c r="I12" s="42"/>
      <c r="J12" s="43">
        <f t="shared" si="0"/>
        <v>147000</v>
      </c>
      <c r="K12" s="48"/>
      <c r="M12" s="5"/>
      <c r="O12" s="4"/>
    </row>
    <row r="13" spans="1:16" s="3" customFormat="1" ht="20.100000000000001" customHeight="1">
      <c r="B13" s="36">
        <v>35</v>
      </c>
      <c r="C13" s="37"/>
      <c r="D13" s="49" t="s">
        <v>40</v>
      </c>
      <c r="E13" s="50"/>
      <c r="F13" s="39">
        <v>4200</v>
      </c>
      <c r="G13" s="45"/>
      <c r="H13" s="41"/>
      <c r="I13" s="42"/>
      <c r="J13" s="43">
        <f t="shared" si="0"/>
        <v>147000</v>
      </c>
      <c r="M13" s="5"/>
      <c r="O13" s="4"/>
    </row>
    <row r="14" spans="1:16" s="3" customFormat="1" ht="20.100000000000001" customHeight="1">
      <c r="B14" s="36">
        <v>35</v>
      </c>
      <c r="C14" s="37"/>
      <c r="D14" s="49" t="s">
        <v>41</v>
      </c>
      <c r="E14" s="38"/>
      <c r="F14" s="39">
        <v>4200</v>
      </c>
      <c r="G14" s="45"/>
      <c r="H14" s="41"/>
      <c r="I14" s="42"/>
      <c r="J14" s="43">
        <f t="shared" si="0"/>
        <v>147000</v>
      </c>
      <c r="M14" s="5"/>
      <c r="N14" s="4"/>
      <c r="O14" s="4"/>
    </row>
    <row r="15" spans="1:16" s="3" customFormat="1" ht="20.100000000000001" customHeight="1">
      <c r="B15" s="36">
        <v>36</v>
      </c>
      <c r="C15" s="37"/>
      <c r="D15" s="49" t="s">
        <v>42</v>
      </c>
      <c r="E15" s="47"/>
      <c r="F15" s="39">
        <v>4200</v>
      </c>
      <c r="G15" s="45"/>
      <c r="H15" s="41"/>
      <c r="I15" s="42"/>
      <c r="J15" s="43">
        <f t="shared" si="0"/>
        <v>151200</v>
      </c>
      <c r="K15" s="48"/>
      <c r="M15" s="5"/>
      <c r="O15" s="4"/>
    </row>
    <row r="16" spans="1:16" s="3" customFormat="1" ht="20.100000000000001" customHeight="1">
      <c r="B16" s="36">
        <v>1</v>
      </c>
      <c r="C16" s="37"/>
      <c r="D16" s="49" t="s">
        <v>43</v>
      </c>
      <c r="E16" s="50"/>
      <c r="F16" s="39">
        <v>130000</v>
      </c>
      <c r="G16" s="45"/>
      <c r="H16" s="41"/>
      <c r="I16" s="42"/>
      <c r="J16" s="43">
        <f t="shared" si="0"/>
        <v>130000</v>
      </c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982600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D45" s="7">
        <f>3.88*30</f>
        <v>116.39999999999999</v>
      </c>
      <c r="M45" s="75"/>
    </row>
    <row r="49" spans="5:6">
      <c r="E49" s="8">
        <f>418460+328300+309680+322420</f>
        <v>1378860</v>
      </c>
    </row>
    <row r="50" spans="5:6">
      <c r="E50" s="5">
        <f>E49-1378860</f>
        <v>0</v>
      </c>
    </row>
    <row r="52" spans="5:6">
      <c r="E52" s="76">
        <f>E49/281.4</f>
        <v>4900</v>
      </c>
      <c r="F52" s="76">
        <f>E49/4900</f>
        <v>281.39999999999998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honeticPr fontId="29" type="noConversion"/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B55D3-BAD4-4C05-8544-2E49F741D8C1}">
  <sheetPr codeName="Sheet90">
    <tabColor rgb="FF0070C0"/>
  </sheetPr>
  <dimension ref="A1:P52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</v>
      </c>
      <c r="O3" s="4"/>
      <c r="P3" s="4"/>
    </row>
    <row r="4" spans="1:16" s="3" customFormat="1" ht="30" customHeight="1">
      <c r="B4" s="12" t="s">
        <v>5</v>
      </c>
      <c r="C4" s="13" t="s">
        <v>6</v>
      </c>
      <c r="D4" s="10"/>
      <c r="E4" s="10"/>
      <c r="F4" s="14" t="s">
        <v>7</v>
      </c>
      <c r="G4" s="15"/>
      <c r="H4" s="15"/>
      <c r="I4" s="15"/>
      <c r="J4" s="16">
        <v>45300</v>
      </c>
      <c r="L4" s="17"/>
      <c r="P4" s="4"/>
    </row>
    <row r="5" spans="1:16" s="3" customFormat="1" ht="30" customHeight="1">
      <c r="B5" s="12" t="s">
        <v>8</v>
      </c>
      <c r="C5" s="132" t="s">
        <v>9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100</v>
      </c>
      <c r="C10" s="37" t="s">
        <v>16</v>
      </c>
      <c r="D10" s="3" t="s">
        <v>17</v>
      </c>
      <c r="E10" s="38"/>
      <c r="F10" s="39">
        <v>500</v>
      </c>
      <c r="G10" s="40"/>
      <c r="H10" s="41"/>
      <c r="I10" s="42"/>
      <c r="J10" s="43">
        <f>F10*B10</f>
        <v>50000</v>
      </c>
      <c r="M10" s="5"/>
      <c r="O10" s="4"/>
    </row>
    <row r="11" spans="1:16" s="3" customFormat="1" ht="20.100000000000001" customHeight="1">
      <c r="B11" s="36"/>
      <c r="C11" s="37"/>
      <c r="D11" s="44" t="s">
        <v>33</v>
      </c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 t="s">
        <v>34</v>
      </c>
      <c r="E12" s="47"/>
      <c r="F12" s="39"/>
      <c r="G12" s="45"/>
      <c r="H12" s="41"/>
      <c r="I12" s="42"/>
      <c r="J12" s="43">
        <f>J10*10%</f>
        <v>5000</v>
      </c>
      <c r="K12" s="48">
        <f>J10-J12</f>
        <v>45000</v>
      </c>
      <c r="L12" s="3" t="s">
        <v>189</v>
      </c>
      <c r="M12" s="5"/>
      <c r="O12" s="4"/>
    </row>
    <row r="13" spans="1:16" s="3" customFormat="1" ht="20.100000000000001" customHeight="1">
      <c r="B13" s="36"/>
      <c r="C13" s="37"/>
      <c r="D13" s="49">
        <f>92.32*3.15</f>
        <v>290.80799999999999</v>
      </c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55000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D45" s="7">
        <f>3.88*30</f>
        <v>116.39999999999999</v>
      </c>
      <c r="M45" s="75"/>
    </row>
    <row r="49" spans="5:6">
      <c r="E49" s="8">
        <f>418460+328300+309680+322420</f>
        <v>1378860</v>
      </c>
    </row>
    <row r="50" spans="5:6">
      <c r="E50" s="5">
        <f>E49-1378860</f>
        <v>0</v>
      </c>
    </row>
    <row r="52" spans="5:6">
      <c r="E52" s="76">
        <f>E49/281.4</f>
        <v>4900</v>
      </c>
      <c r="F52" s="76">
        <f>E49/4900</f>
        <v>281.39999999999998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75B0F1-8EC8-4B4B-965A-A534A504226C}">
  <sheetPr>
    <tabColor rgb="FF00B0F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125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45439</v>
      </c>
      <c r="L4" s="17"/>
      <c r="P4" s="4"/>
    </row>
    <row r="5" spans="1:16" s="3" customFormat="1" ht="30" customHeight="1">
      <c r="B5" s="12" t="s">
        <v>8</v>
      </c>
      <c r="C5" s="132" t="s">
        <v>366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92500</v>
      </c>
      <c r="L10" s="23">
        <f>500/25</f>
        <v>20</v>
      </c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92500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FD621E-327F-4602-84C3-23C4991CF9F2}">
  <sheetPr>
    <tabColor rgb="FFC00000"/>
  </sheetPr>
  <dimension ref="A1:P45"/>
  <sheetViews>
    <sheetView view="pageBreakPreview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119</v>
      </c>
      <c r="D3" s="150"/>
      <c r="E3" s="150"/>
      <c r="F3" s="11" t="s">
        <v>4</v>
      </c>
      <c r="G3" s="11"/>
      <c r="H3" s="11"/>
      <c r="I3" s="11"/>
      <c r="J3" s="77">
        <v>124</v>
      </c>
      <c r="O3" s="4"/>
    </row>
    <row r="4" spans="1:16" s="3" customFormat="1" ht="30" customHeight="1">
      <c r="B4" s="12" t="s">
        <v>5</v>
      </c>
      <c r="C4" s="13" t="s">
        <v>383</v>
      </c>
      <c r="D4" s="10"/>
      <c r="E4" s="10"/>
      <c r="F4" s="14" t="s">
        <v>7</v>
      </c>
      <c r="G4" s="15"/>
      <c r="H4" s="15"/>
      <c r="I4" s="15"/>
      <c r="J4" s="16">
        <v>45435</v>
      </c>
      <c r="L4" s="17"/>
      <c r="P4" s="4"/>
    </row>
    <row r="5" spans="1:16" s="3" customFormat="1" ht="30" customHeight="1">
      <c r="B5" s="12" t="s">
        <v>8</v>
      </c>
      <c r="C5" s="132" t="s">
        <v>378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385</v>
      </c>
      <c r="E10" s="157"/>
      <c r="F10" s="39">
        <f>2197.57-400</f>
        <v>1797.5700000000002</v>
      </c>
      <c r="G10" s="40"/>
      <c r="H10" s="41"/>
      <c r="I10" s="42"/>
      <c r="J10" s="43">
        <f>F10</f>
        <v>1797.5700000000002</v>
      </c>
      <c r="P10" s="78"/>
    </row>
    <row r="11" spans="1:16" s="3" customFormat="1" ht="20.100000000000001" customHeight="1">
      <c r="B11" s="36"/>
      <c r="C11" s="37"/>
      <c r="D11" s="49" t="s">
        <v>386</v>
      </c>
      <c r="E11" s="38"/>
      <c r="F11" s="39">
        <f>2180.17-400</f>
        <v>1780.17</v>
      </c>
      <c r="G11" s="40"/>
      <c r="H11" s="41"/>
      <c r="I11" s="42"/>
      <c r="J11" s="43">
        <f t="shared" ref="J11:J12" si="0">F11</f>
        <v>1780.17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382</v>
      </c>
      <c r="E12" s="38"/>
      <c r="F12" s="39">
        <v>56</v>
      </c>
      <c r="G12" s="40"/>
      <c r="H12" s="41"/>
      <c r="I12" s="42"/>
      <c r="J12" s="43">
        <f t="shared" si="0"/>
        <v>56</v>
      </c>
      <c r="M12" s="5"/>
      <c r="O12" s="4"/>
    </row>
    <row r="13" spans="1:16" s="3" customFormat="1" ht="20.100000000000001" customHeight="1">
      <c r="B13" s="36"/>
      <c r="C13" s="37"/>
      <c r="D13" s="49" t="s">
        <v>129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 t="s">
        <v>176</v>
      </c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49" t="s">
        <v>177</v>
      </c>
      <c r="E15" s="38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 t="s">
        <v>131</v>
      </c>
      <c r="E16" s="38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49" t="s">
        <v>132</v>
      </c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3633.7400000000002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5">
    <mergeCell ref="F26:G27"/>
    <mergeCell ref="J26:J27"/>
    <mergeCell ref="D10:E10"/>
    <mergeCell ref="D22:E22"/>
    <mergeCell ref="B1:F1"/>
    <mergeCell ref="G1:J1"/>
    <mergeCell ref="C3:E3"/>
    <mergeCell ref="C5:E5"/>
    <mergeCell ref="D9:E9"/>
    <mergeCell ref="F9:H9"/>
    <mergeCell ref="B42:C4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7129D5-870F-4C0B-AC82-24E74160A7A7}">
  <sheetPr>
    <tabColor rgb="FFC00000"/>
  </sheetPr>
  <dimension ref="A1:Q45"/>
  <sheetViews>
    <sheetView view="pageBreakPreview" topLeftCell="C1" zoomScale="80" zoomScaleNormal="100" zoomScaleSheetLayoutView="80" workbookViewId="0">
      <selection activeCell="L8" sqref="L8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/>
    <row r="3" spans="1:17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123</v>
      </c>
      <c r="O3" s="4"/>
    </row>
    <row r="4" spans="1:17" s="3" customFormat="1" ht="30" customHeight="1">
      <c r="B4" s="12" t="s">
        <v>5</v>
      </c>
      <c r="C4" s="13" t="s">
        <v>381</v>
      </c>
      <c r="D4" s="10"/>
      <c r="E4" s="10"/>
      <c r="F4" s="14" t="s">
        <v>7</v>
      </c>
      <c r="G4" s="15"/>
      <c r="H4" s="15"/>
      <c r="I4" s="15"/>
      <c r="J4" s="16">
        <v>45435</v>
      </c>
      <c r="L4" s="17"/>
      <c r="N4" s="3">
        <f>960/64</f>
        <v>15</v>
      </c>
      <c r="P4" s="4"/>
    </row>
    <row r="5" spans="1:17" s="3" customFormat="1" ht="30" customHeight="1">
      <c r="B5" s="12" t="s">
        <v>8</v>
      </c>
      <c r="C5" s="132" t="s">
        <v>378</v>
      </c>
      <c r="D5" s="132"/>
      <c r="E5" s="132"/>
      <c r="F5" s="15" t="s">
        <v>10</v>
      </c>
      <c r="G5" s="15"/>
      <c r="H5" s="15"/>
      <c r="I5" s="15"/>
      <c r="J5" s="16"/>
      <c r="N5" s="3">
        <f>74*15</f>
        <v>1110</v>
      </c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3" t="s">
        <v>125</v>
      </c>
      <c r="N6" s="3">
        <f>N5-200</f>
        <v>910</v>
      </c>
      <c r="P6" s="4"/>
    </row>
    <row r="7" spans="1:17" s="3" customFormat="1" ht="13.5" customHeight="1" thickBot="1">
      <c r="B7" s="23"/>
      <c r="C7" s="24"/>
      <c r="D7" s="24"/>
      <c r="G7" s="25"/>
      <c r="J7" s="26"/>
      <c r="L7" s="3" t="s">
        <v>126</v>
      </c>
      <c r="P7" s="4"/>
      <c r="Q7" s="3">
        <f>1140-200</f>
        <v>940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127</v>
      </c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7" s="24" customFormat="1" ht="20.100000000000001" customHeight="1">
      <c r="B10" s="36"/>
      <c r="C10" s="37"/>
      <c r="D10" s="156" t="s">
        <v>379</v>
      </c>
      <c r="E10" s="157"/>
      <c r="F10" s="39">
        <f>960-200</f>
        <v>760</v>
      </c>
      <c r="G10" s="45"/>
      <c r="H10" s="41"/>
      <c r="I10" s="42"/>
      <c r="J10" s="43">
        <f>F10</f>
        <v>760</v>
      </c>
      <c r="L10" s="24" t="s">
        <v>128</v>
      </c>
      <c r="P10" s="78"/>
    </row>
    <row r="11" spans="1:17" s="3" customFormat="1" ht="20.100000000000001" customHeight="1">
      <c r="B11" s="36"/>
      <c r="C11" s="37"/>
      <c r="D11" s="156" t="s">
        <v>380</v>
      </c>
      <c r="E11" s="157"/>
      <c r="F11" s="39">
        <f>1140-200</f>
        <v>940</v>
      </c>
      <c r="G11" s="40"/>
      <c r="H11" s="41"/>
      <c r="I11" s="42"/>
      <c r="J11" s="43">
        <f>F11</f>
        <v>940</v>
      </c>
      <c r="M11" s="5"/>
      <c r="N11" s="5"/>
      <c r="P11" s="4"/>
    </row>
    <row r="12" spans="1:17" s="3" customFormat="1" ht="20.100000000000001" customHeight="1">
      <c r="B12" s="36"/>
      <c r="C12" s="37"/>
      <c r="D12" s="49" t="s">
        <v>129</v>
      </c>
      <c r="E12" s="38"/>
      <c r="F12" s="39"/>
      <c r="G12" s="40"/>
      <c r="H12" s="41"/>
      <c r="I12" s="42"/>
      <c r="J12" s="43"/>
      <c r="M12" s="5"/>
      <c r="O12" s="4"/>
    </row>
    <row r="13" spans="1:17" s="3" customFormat="1" ht="20.100000000000001" customHeight="1">
      <c r="B13" s="36"/>
      <c r="C13" s="37"/>
      <c r="D13" s="49" t="s">
        <v>131</v>
      </c>
      <c r="E13" s="38"/>
      <c r="F13" s="39"/>
      <c r="G13" s="45"/>
      <c r="H13" s="41"/>
      <c r="I13" s="42"/>
      <c r="J13" s="43"/>
      <c r="L13" s="3" t="s">
        <v>133</v>
      </c>
      <c r="M13" s="5"/>
      <c r="O13" s="4"/>
      <c r="P13" s="81"/>
    </row>
    <row r="14" spans="1:17" s="3" customFormat="1" ht="20.100000000000001" customHeight="1">
      <c r="B14" s="36"/>
      <c r="C14" s="37"/>
      <c r="D14" s="49" t="s">
        <v>132</v>
      </c>
      <c r="E14" s="38"/>
      <c r="F14" s="39"/>
      <c r="G14" s="45"/>
      <c r="H14" s="41"/>
      <c r="I14" s="42"/>
      <c r="J14" s="43"/>
      <c r="L14" s="3" t="s">
        <v>129</v>
      </c>
      <c r="M14" s="5"/>
      <c r="O14" s="4"/>
    </row>
    <row r="15" spans="1:17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L15" s="3" t="s">
        <v>131</v>
      </c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>
        <f>910-1110</f>
        <v>-200</v>
      </c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L18" s="3" t="s">
        <v>134</v>
      </c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1700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5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5">
      <c r="B34" s="7"/>
      <c r="C34" s="155" t="s">
        <v>31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5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5">
      <c r="B36" s="7"/>
      <c r="C36" s="68"/>
      <c r="D36" s="68"/>
      <c r="E36" s="67"/>
      <c r="F36" s="67"/>
      <c r="G36" s="67"/>
      <c r="H36" s="67"/>
      <c r="I36" s="67"/>
      <c r="J36" s="67"/>
    </row>
    <row r="37" spans="2:15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5">
      <c r="B38" s="7"/>
      <c r="C38" s="68"/>
      <c r="D38" s="68"/>
      <c r="E38" s="67"/>
      <c r="F38" s="67"/>
      <c r="G38" s="67"/>
      <c r="H38" s="67"/>
      <c r="I38" s="67"/>
      <c r="J38" s="67"/>
    </row>
    <row r="39" spans="2:15">
      <c r="C39" s="68"/>
      <c r="D39" s="68"/>
      <c r="E39" s="67"/>
      <c r="F39" s="67"/>
      <c r="G39" s="67"/>
      <c r="H39" s="67"/>
      <c r="I39" s="67"/>
      <c r="J39" s="67"/>
    </row>
    <row r="40" spans="2:15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5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5">
      <c r="B42" s="125"/>
      <c r="C42" s="125"/>
      <c r="E42" s="7"/>
      <c r="F42" s="7"/>
    </row>
    <row r="43" spans="2:15">
      <c r="O43" s="8">
        <f>118+88</f>
        <v>206</v>
      </c>
    </row>
    <row r="45" spans="2:15" ht="15">
      <c r="M45" s="75"/>
    </row>
  </sheetData>
  <mergeCells count="18">
    <mergeCell ref="B1:F1"/>
    <mergeCell ref="G1:J1"/>
    <mergeCell ref="C3:E3"/>
    <mergeCell ref="C5:E5"/>
    <mergeCell ref="D9:E9"/>
    <mergeCell ref="F9:H9"/>
    <mergeCell ref="D10:E10"/>
    <mergeCell ref="D15:E15"/>
    <mergeCell ref="D22:E22"/>
    <mergeCell ref="D23:E23"/>
    <mergeCell ref="B26:B27"/>
    <mergeCell ref="C26:C27"/>
    <mergeCell ref="D26:E27"/>
    <mergeCell ref="F26:G27"/>
    <mergeCell ref="J26:J27"/>
    <mergeCell ref="C34:D34"/>
    <mergeCell ref="B42:C42"/>
    <mergeCell ref="D11:E11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B4B92C-CE37-4C2D-82A8-C039A5C9AB24}">
  <sheetPr>
    <tabColor rgb="FFC00000"/>
  </sheetPr>
  <dimension ref="A1:P45"/>
  <sheetViews>
    <sheetView view="pageBreakPreview" topLeftCell="B4" zoomScaleNormal="100" zoomScaleSheetLayoutView="100" workbookViewId="0">
      <selection activeCell="D10" sqref="D10:E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119</v>
      </c>
      <c r="D3" s="150"/>
      <c r="E3" s="150"/>
      <c r="F3" s="11" t="s">
        <v>4</v>
      </c>
      <c r="G3" s="11"/>
      <c r="H3" s="11"/>
      <c r="I3" s="11"/>
      <c r="J3" s="77">
        <v>122</v>
      </c>
      <c r="O3" s="4"/>
    </row>
    <row r="4" spans="1:16" s="3" customFormat="1" ht="30" customHeight="1">
      <c r="B4" s="12" t="s">
        <v>5</v>
      </c>
      <c r="C4" s="13" t="s">
        <v>384</v>
      </c>
      <c r="D4" s="10"/>
      <c r="E4" s="10"/>
      <c r="F4" s="14" t="s">
        <v>7</v>
      </c>
      <c r="G4" s="15"/>
      <c r="H4" s="15"/>
      <c r="I4" s="15"/>
      <c r="J4" s="16">
        <v>45435</v>
      </c>
      <c r="L4" s="17"/>
      <c r="N4" s="3">
        <f>135*2</f>
        <v>270</v>
      </c>
      <c r="P4" s="4"/>
    </row>
    <row r="5" spans="1:16" s="3" customFormat="1" ht="30" customHeight="1">
      <c r="B5" s="12" t="s">
        <v>8</v>
      </c>
      <c r="C5" s="132" t="s">
        <v>377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316</v>
      </c>
      <c r="E10" s="157"/>
      <c r="F10" s="39">
        <v>1695</v>
      </c>
      <c r="G10" s="40"/>
      <c r="H10" s="41"/>
      <c r="I10" s="42"/>
      <c r="J10" s="43">
        <f>F10</f>
        <v>1695</v>
      </c>
      <c r="L10" s="98">
        <f>J10-1405.98</f>
        <v>289.02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  <c r="P12" s="104">
        <f>1205-F10</f>
        <v>-490</v>
      </c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>
        <f>5500-4306.5</f>
        <v>1193.5</v>
      </c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1695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57B97-3C9C-4F57-AD33-91491584B107}">
  <sheetPr>
    <tabColor rgb="FFC00000"/>
  </sheetPr>
  <dimension ref="A1:P45"/>
  <sheetViews>
    <sheetView view="pageBreakPreview" zoomScale="70" zoomScaleNormal="100" zoomScaleSheetLayoutView="7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121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376</v>
      </c>
      <c r="D4" s="10"/>
      <c r="E4" s="10"/>
      <c r="F4" s="14" t="s">
        <v>7</v>
      </c>
      <c r="G4" s="15"/>
      <c r="H4" s="15"/>
      <c r="I4" s="15"/>
      <c r="J4" s="16">
        <v>45434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307</v>
      </c>
      <c r="E10" s="157"/>
      <c r="F10" s="39"/>
      <c r="G10" s="40"/>
      <c r="H10" s="41"/>
      <c r="I10" s="42"/>
      <c r="J10" s="43">
        <v>1732.4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57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1782.4</v>
      </c>
      <c r="L26" s="99">
        <f>2000-1782.4</f>
        <v>217.59999999999991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45EBB9-CD36-4445-8A88-88CA1F22702E}">
  <sheetPr>
    <tabColor rgb="FFC00000"/>
  </sheetPr>
  <dimension ref="A1:P45"/>
  <sheetViews>
    <sheetView view="pageBreakPreview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120</v>
      </c>
      <c r="O3" s="4"/>
    </row>
    <row r="4" spans="1:16" s="3" customFormat="1" ht="30" customHeight="1">
      <c r="B4" s="12" t="s">
        <v>5</v>
      </c>
      <c r="C4" s="13" t="s">
        <v>374</v>
      </c>
      <c r="D4" s="10"/>
      <c r="E4" s="10"/>
      <c r="F4" s="14" t="s">
        <v>7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49" t="s">
        <v>375</v>
      </c>
      <c r="E10" s="38"/>
      <c r="F10" s="39">
        <v>7941.38</v>
      </c>
      <c r="G10" s="40"/>
      <c r="H10" s="41"/>
      <c r="I10" s="42"/>
      <c r="J10" s="43">
        <f>F10</f>
        <v>7941.38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5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7941.38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1">
    <mergeCell ref="B42:C42"/>
    <mergeCell ref="B1:F1"/>
    <mergeCell ref="G1:J1"/>
    <mergeCell ref="C3:E3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1DC08-F0F7-4F97-B7F3-240EC6AFCD06}">
  <sheetPr>
    <tabColor rgb="FF00B0F0"/>
  </sheetPr>
  <dimension ref="A1:P45"/>
  <sheetViews>
    <sheetView view="pageBreakPreview" topLeftCell="A4" zoomScale="80" zoomScaleNormal="100" zoomScaleSheetLayoutView="80" workbookViewId="0">
      <selection activeCell="D15" sqref="D1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1.57031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119</v>
      </c>
      <c r="O3" s="4"/>
    </row>
    <row r="4" spans="1:16" s="3" customFormat="1" ht="30" customHeight="1">
      <c r="B4" s="12" t="s">
        <v>5</v>
      </c>
      <c r="C4" s="13" t="s">
        <v>368</v>
      </c>
      <c r="D4" s="10"/>
      <c r="E4" s="10"/>
      <c r="F4" s="14" t="s">
        <v>7</v>
      </c>
      <c r="G4" s="15"/>
      <c r="H4" s="15"/>
      <c r="I4" s="15"/>
      <c r="J4" s="16">
        <v>45421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25</v>
      </c>
      <c r="C10" s="37" t="s">
        <v>78</v>
      </c>
      <c r="D10" s="49" t="s">
        <v>86</v>
      </c>
      <c r="E10" s="38"/>
      <c r="F10" s="39">
        <v>68</v>
      </c>
      <c r="G10" s="45"/>
      <c r="H10" s="41"/>
      <c r="I10" s="42"/>
      <c r="J10" s="43">
        <f t="shared" ref="J10" si="0">F10*B10</f>
        <v>1700</v>
      </c>
      <c r="L10" s="23"/>
      <c r="M10" s="5"/>
      <c r="O10" s="4"/>
    </row>
    <row r="11" spans="1:16" s="3" customFormat="1" ht="20.100000000000001" customHeight="1">
      <c r="B11" s="36">
        <v>120</v>
      </c>
      <c r="C11" s="37" t="s">
        <v>47</v>
      </c>
      <c r="D11" s="49" t="s">
        <v>164</v>
      </c>
      <c r="E11" s="38"/>
      <c r="F11" s="39">
        <v>25</v>
      </c>
      <c r="G11" s="45"/>
      <c r="H11" s="41"/>
      <c r="I11" s="42"/>
      <c r="J11" s="43">
        <f t="shared" ref="J11" si="1">F11*B11</f>
        <v>3000</v>
      </c>
      <c r="L11" s="23"/>
      <c r="M11" s="76"/>
      <c r="N11" s="55"/>
      <c r="O11" s="4"/>
    </row>
    <row r="12" spans="1:16" s="3" customFormat="1" ht="20.100000000000001" customHeight="1">
      <c r="B12" s="36"/>
      <c r="C12" s="37"/>
      <c r="D12" s="49"/>
      <c r="E12" s="38"/>
      <c r="F12" s="39"/>
      <c r="G12" s="45"/>
      <c r="H12" s="41"/>
      <c r="I12" s="42"/>
      <c r="J12" s="43"/>
      <c r="L12" s="23"/>
      <c r="M12" s="76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23"/>
      <c r="M13" s="76"/>
      <c r="N13" s="55"/>
      <c r="O13" s="4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76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76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23"/>
      <c r="M16" s="76"/>
      <c r="N16" s="55"/>
      <c r="O16" s="4"/>
    </row>
    <row r="17" spans="2:16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76"/>
      <c r="N17" s="55"/>
      <c r="O17" s="4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M18" s="76">
        <f>SUM(M15:M17)</f>
        <v>0</v>
      </c>
      <c r="N18" s="55"/>
      <c r="O18" s="4"/>
    </row>
    <row r="19" spans="2:16" s="3" customFormat="1" ht="20.100000000000001" customHeight="1">
      <c r="B19" s="36"/>
      <c r="C19" s="37"/>
      <c r="D19" s="49"/>
      <c r="E19" s="38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4700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F8BF0D-E949-4CAC-BCD7-DDE2D44BACAE}">
  <sheetPr>
    <tabColor rgb="FF00B0F0"/>
  </sheetPr>
  <dimension ref="A1:P45"/>
  <sheetViews>
    <sheetView view="pageBreakPreview" topLeftCell="A4" zoomScale="80" zoomScaleNormal="100" zoomScaleSheetLayoutView="80" workbookViewId="0">
      <selection activeCell="D22" sqref="D2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1.57031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118</v>
      </c>
      <c r="O3" s="4"/>
    </row>
    <row r="4" spans="1:16" s="3" customFormat="1" ht="30" customHeight="1">
      <c r="B4" s="12" t="s">
        <v>5</v>
      </c>
      <c r="C4" s="13" t="s">
        <v>368</v>
      </c>
      <c r="D4" s="10"/>
      <c r="E4" s="10"/>
      <c r="F4" s="14" t="s">
        <v>7</v>
      </c>
      <c r="G4" s="15"/>
      <c r="H4" s="15"/>
      <c r="I4" s="15"/>
      <c r="J4" s="16">
        <v>45421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25</v>
      </c>
      <c r="C10" s="37" t="s">
        <v>78</v>
      </c>
      <c r="D10" s="49" t="s">
        <v>86</v>
      </c>
      <c r="E10" s="38"/>
      <c r="F10" s="39">
        <v>68</v>
      </c>
      <c r="G10" s="45"/>
      <c r="H10" s="41"/>
      <c r="I10" s="42"/>
      <c r="J10" s="43">
        <f t="shared" ref="J10:J13" si="0">F10*B10</f>
        <v>1700</v>
      </c>
      <c r="L10" s="23"/>
      <c r="M10" s="5"/>
      <c r="O10" s="4"/>
    </row>
    <row r="11" spans="1:16" s="3" customFormat="1" ht="20.100000000000001" customHeight="1">
      <c r="B11" s="36">
        <v>15</v>
      </c>
      <c r="C11" s="37" t="s">
        <v>47</v>
      </c>
      <c r="D11" s="49" t="s">
        <v>162</v>
      </c>
      <c r="E11" s="38"/>
      <c r="F11" s="39">
        <v>100</v>
      </c>
      <c r="G11" s="45"/>
      <c r="H11" s="41"/>
      <c r="I11" s="42"/>
      <c r="J11" s="43">
        <f t="shared" si="0"/>
        <v>1500</v>
      </c>
      <c r="L11" s="23">
        <v>100</v>
      </c>
      <c r="M11" s="76">
        <f>L11*F11</f>
        <v>10000</v>
      </c>
      <c r="O11" s="4"/>
    </row>
    <row r="12" spans="1:16" s="3" customFormat="1" ht="20.100000000000001" customHeight="1">
      <c r="B12" s="36">
        <v>42</v>
      </c>
      <c r="C12" s="37" t="s">
        <v>47</v>
      </c>
      <c r="D12" s="49" t="s">
        <v>163</v>
      </c>
      <c r="E12" s="38"/>
      <c r="F12" s="39">
        <v>20</v>
      </c>
      <c r="G12" s="45"/>
      <c r="H12" s="41"/>
      <c r="I12" s="42"/>
      <c r="J12" s="43">
        <f t="shared" si="0"/>
        <v>840</v>
      </c>
      <c r="L12" s="23">
        <v>20</v>
      </c>
      <c r="M12" s="76">
        <f t="shared" ref="M12:M13" si="1">L12*F12</f>
        <v>400</v>
      </c>
      <c r="O12" s="4"/>
    </row>
    <row r="13" spans="1:16" s="3" customFormat="1" ht="20.100000000000001" customHeight="1">
      <c r="B13" s="36">
        <v>42</v>
      </c>
      <c r="C13" s="37" t="s">
        <v>47</v>
      </c>
      <c r="D13" s="49" t="s">
        <v>164</v>
      </c>
      <c r="E13" s="38"/>
      <c r="F13" s="39">
        <v>25</v>
      </c>
      <c r="G13" s="45"/>
      <c r="H13" s="41"/>
      <c r="I13" s="42"/>
      <c r="J13" s="43">
        <f t="shared" si="0"/>
        <v>1050</v>
      </c>
      <c r="L13" s="23">
        <v>25</v>
      </c>
      <c r="M13" s="76">
        <f t="shared" si="1"/>
        <v>625</v>
      </c>
      <c r="N13" s="55"/>
      <c r="O13" s="4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76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76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23"/>
      <c r="M16" s="76"/>
      <c r="N16" s="55"/>
      <c r="O16" s="4"/>
    </row>
    <row r="17" spans="2:16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76"/>
      <c r="N17" s="55"/>
      <c r="O17" s="4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M18" s="76">
        <f>SUM(M15:M17)</f>
        <v>0</v>
      </c>
      <c r="N18" s="55"/>
      <c r="O18" s="4"/>
    </row>
    <row r="19" spans="2:16" s="3" customFormat="1" ht="20.100000000000001" customHeight="1">
      <c r="B19" s="36"/>
      <c r="C19" s="37"/>
      <c r="D19" s="49"/>
      <c r="E19" s="38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5090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5E1691-553D-45DF-ADA8-6D7D5EA067EB}">
  <sheetPr codeName="Sheet91">
    <tabColor rgb="FFFFFF00"/>
  </sheetPr>
  <dimension ref="A1:P49"/>
  <sheetViews>
    <sheetView view="pageBreakPreview" zoomScaleNormal="100" zoomScaleSheetLayoutView="100" workbookViewId="0">
      <selection activeCell="D43" sqref="D4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117</v>
      </c>
      <c r="O3" s="4"/>
    </row>
    <row r="4" spans="1:16" s="3" customFormat="1" ht="30" customHeight="1">
      <c r="B4" s="12" t="s">
        <v>5</v>
      </c>
      <c r="C4" s="13" t="s">
        <v>369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371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6</v>
      </c>
      <c r="C10" s="37" t="s">
        <v>301</v>
      </c>
      <c r="D10" s="49" t="s">
        <v>370</v>
      </c>
      <c r="E10" s="38"/>
      <c r="F10" s="39">
        <v>110</v>
      </c>
      <c r="G10" s="40"/>
      <c r="H10" s="41"/>
      <c r="I10" s="42"/>
      <c r="J10" s="43">
        <f t="shared" ref="J10" si="0">F10*B10</f>
        <v>660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>
        <f>2708+800</f>
        <v>3508</v>
      </c>
      <c r="M12" s="5">
        <f>L12-1208</f>
        <v>2300</v>
      </c>
      <c r="N12" s="4"/>
      <c r="O12" s="4"/>
    </row>
    <row r="13" spans="1:16" s="3" customFormat="1" ht="20.100000000000001" customHeight="1">
      <c r="B13" s="36"/>
      <c r="C13" s="37"/>
      <c r="D13" s="118" t="s">
        <v>372</v>
      </c>
      <c r="E13" s="38"/>
      <c r="F13" s="39"/>
      <c r="G13" s="45"/>
      <c r="H13" s="41"/>
      <c r="I13" s="42"/>
      <c r="J13" s="43"/>
      <c r="L13" s="82">
        <f>L12-1208</f>
        <v>2300</v>
      </c>
      <c r="M13" s="5"/>
      <c r="O13" s="4"/>
    </row>
    <row r="14" spans="1:16" s="3" customFormat="1" ht="20.100000000000001" customHeight="1">
      <c r="B14" s="170" t="s">
        <v>373</v>
      </c>
      <c r="C14" s="171"/>
      <c r="D14" s="171"/>
      <c r="E14" s="171"/>
      <c r="F14" s="171"/>
      <c r="G14" s="171"/>
      <c r="H14" s="171"/>
      <c r="I14" s="171"/>
      <c r="J14" s="172"/>
      <c r="L14" s="23"/>
      <c r="M14" s="5"/>
      <c r="N14" s="4"/>
      <c r="O14" s="4"/>
    </row>
    <row r="15" spans="1:16" s="3" customFormat="1" ht="20.100000000000001" customHeight="1">
      <c r="B15" s="36">
        <v>5</v>
      </c>
      <c r="C15" s="37" t="s">
        <v>301</v>
      </c>
      <c r="D15" s="118" t="s">
        <v>370</v>
      </c>
      <c r="E15" s="38"/>
      <c r="F15" s="39">
        <v>110</v>
      </c>
      <c r="G15" s="45"/>
      <c r="H15" s="41"/>
      <c r="I15" s="42"/>
      <c r="J15" s="43">
        <f>F15*B15</f>
        <v>550</v>
      </c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1210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E45" s="5">
        <f>2000-1295</f>
        <v>705</v>
      </c>
      <c r="J45" s="5">
        <v>1295</v>
      </c>
      <c r="M45" s="75"/>
    </row>
    <row r="46" spans="2:13">
      <c r="E46" s="5">
        <f>E45-1011</f>
        <v>-306</v>
      </c>
      <c r="J46" s="5">
        <v>546</v>
      </c>
    </row>
    <row r="47" spans="2:13">
      <c r="J47" s="5">
        <v>205</v>
      </c>
    </row>
    <row r="48" spans="2:13">
      <c r="E48" s="5">
        <f>59+110+111+335+380+300</f>
        <v>1295</v>
      </c>
      <c r="J48" s="5">
        <v>820</v>
      </c>
    </row>
    <row r="49" spans="5:12">
      <c r="E49" s="5">
        <f>3000-2866</f>
        <v>134</v>
      </c>
      <c r="J49" s="5">
        <f>SUM(J45:J48)</f>
        <v>2866</v>
      </c>
      <c r="L49" s="5">
        <f>3000-J49</f>
        <v>134</v>
      </c>
    </row>
  </sheetData>
  <mergeCells count="13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  <mergeCell ref="B14:J14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DF35E-4942-47A7-BCBC-75163CAF3369}">
  <sheetPr>
    <tabColor rgb="FF00B0F0"/>
  </sheetPr>
  <dimension ref="A1:P45"/>
  <sheetViews>
    <sheetView view="pageBreakPreview" zoomScaleNormal="100" zoomScaleSheetLayoutView="10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134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45456</v>
      </c>
      <c r="L4" s="17"/>
      <c r="P4" s="4"/>
    </row>
    <row r="5" spans="1:16" s="3" customFormat="1" ht="30" customHeight="1">
      <c r="B5" s="12" t="s">
        <v>8</v>
      </c>
      <c r="C5" s="132" t="s">
        <v>366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92500</v>
      </c>
      <c r="L10" s="23">
        <f>500/25</f>
        <v>20</v>
      </c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92500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2E35DA-BA89-4344-8C82-A07B6F68E3CA}">
  <sheetPr codeName="Sheet1">
    <tabColor rgb="FF00B0F0"/>
  </sheetPr>
  <dimension ref="A1:P45"/>
  <sheetViews>
    <sheetView view="pageBreakPreview" zoomScaleNormal="100" zoomScaleSheetLayoutView="10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116</v>
      </c>
      <c r="O3" s="4"/>
    </row>
    <row r="4" spans="1:16" s="3" customFormat="1" ht="30" customHeight="1">
      <c r="B4" s="12" t="s">
        <v>5</v>
      </c>
      <c r="C4" s="13" t="s">
        <v>368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250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46250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46250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AA7A5F-206E-492D-9A84-45FC849BB70E}">
  <sheetPr codeName="Sheet2">
    <tabColor rgb="FF00B0F0"/>
  </sheetPr>
  <dimension ref="A1:P45"/>
  <sheetViews>
    <sheetView tabSelected="1" view="pageBreakPreview" zoomScale="90" zoomScaleNormal="100" zoomScaleSheetLayoutView="9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115</v>
      </c>
      <c r="O3" s="4"/>
    </row>
    <row r="4" spans="1:16" s="3" customFormat="1" ht="30" customHeight="1">
      <c r="B4" s="12" t="s">
        <v>5</v>
      </c>
      <c r="C4" s="13" t="s">
        <v>368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37000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37000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2B8A53-AD89-4182-9D5F-246D7CCAED4A}">
  <sheetPr codeName="Sheet3">
    <tabColor rgb="FF00B0F0"/>
  </sheetPr>
  <dimension ref="A1:P45"/>
  <sheetViews>
    <sheetView view="pageBreakPreview" zoomScale="90" zoomScaleNormal="100" zoomScaleSheetLayoutView="9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114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367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1000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185000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365</v>
      </c>
      <c r="E26" s="141"/>
      <c r="F26" s="144" t="s">
        <v>19</v>
      </c>
      <c r="G26" s="145"/>
      <c r="H26" s="62"/>
      <c r="I26" s="62"/>
      <c r="J26" s="148">
        <f>SUM(J10:J25)</f>
        <v>185000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B16851-F30A-4B40-AB6D-798AF9BB9B8A}">
  <sheetPr codeName="Sheet4">
    <tabColor rgb="FF00B0F0"/>
  </sheetPr>
  <dimension ref="A1:P45"/>
  <sheetViews>
    <sheetView view="pageBreakPreview" zoomScaleNormal="100" zoomScaleSheetLayoutView="10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113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366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92500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365</v>
      </c>
      <c r="E26" s="141"/>
      <c r="F26" s="144" t="s">
        <v>19</v>
      </c>
      <c r="G26" s="145"/>
      <c r="H26" s="62"/>
      <c r="I26" s="62"/>
      <c r="J26" s="148">
        <f>SUM(J10:J25)</f>
        <v>92500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424CA0-2B97-49C1-98B7-B543EAB69AB3}">
  <sheetPr codeName="Sheet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112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1" t="s">
        <v>101</v>
      </c>
      <c r="E10" s="152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363</v>
      </c>
      <c r="E11" s="90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102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4" t="s">
        <v>103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90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3"/>
      <c r="M17" s="153"/>
      <c r="N17" s="153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3"/>
      <c r="M18" s="153"/>
      <c r="N18" s="153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3"/>
      <c r="M19" s="153"/>
      <c r="N19" s="153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42:C42"/>
    <mergeCell ref="D10:E10"/>
    <mergeCell ref="L17:N19"/>
    <mergeCell ref="B26:B27"/>
    <mergeCell ref="C26:C27"/>
    <mergeCell ref="D26:E27"/>
    <mergeCell ref="F26:G27"/>
    <mergeCell ref="J26:J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4FF530-59F8-44E8-A1B2-334DB19DC45B}">
  <sheetPr codeName="Sheet6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111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45414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108</v>
      </c>
      <c r="E10" s="157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165" t="s">
        <v>364</v>
      </c>
      <c r="E11" s="157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7B4DAA-CF77-4128-A50A-EA284837399A}">
  <sheetPr codeName="Sheet7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110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45414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35">
        <f>36080-14667.86-1600</f>
        <v>19812.14</v>
      </c>
      <c r="P9" s="35"/>
    </row>
    <row r="10" spans="1:16" s="24" customFormat="1" ht="20.100000000000001" customHeight="1">
      <c r="B10" s="36"/>
      <c r="C10" s="37"/>
      <c r="D10" s="156" t="s">
        <v>113</v>
      </c>
      <c r="E10" s="157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363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8"/>
      <c r="E26" s="159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60"/>
      <c r="E27" s="161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5" t="s">
        <v>31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B42:C42"/>
    <mergeCell ref="B26:B27"/>
    <mergeCell ref="C26:C27"/>
    <mergeCell ref="D26:E27"/>
    <mergeCell ref="F26:G27"/>
    <mergeCell ref="J26:J27"/>
    <mergeCell ref="C34:D34"/>
    <mergeCell ref="B1:F1"/>
    <mergeCell ref="G1:J1"/>
    <mergeCell ref="C3:E3"/>
    <mergeCell ref="D9:E9"/>
    <mergeCell ref="F9:H9"/>
    <mergeCell ref="D10:E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9EEA4C-6FA6-49D7-A843-FB815F97B3FA}">
  <sheetPr codeName="Sheet8">
    <tabColor rgb="FF0070C0"/>
  </sheetPr>
  <dimension ref="A1:Q52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7" width="12.42578125" style="5" bestFit="1" customWidth="1"/>
    <col min="18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>
      <c r="P2" s="3"/>
    </row>
    <row r="3" spans="1:17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109</v>
      </c>
      <c r="O3" s="4"/>
      <c r="P3" s="4"/>
    </row>
    <row r="4" spans="1:17" s="3" customFormat="1" ht="30" customHeight="1">
      <c r="B4" s="12" t="s">
        <v>5</v>
      </c>
      <c r="C4" s="13" t="s">
        <v>361</v>
      </c>
      <c r="D4" s="10"/>
      <c r="E4" s="10"/>
      <c r="F4" s="14" t="s">
        <v>7</v>
      </c>
      <c r="G4" s="15"/>
      <c r="H4" s="15"/>
      <c r="I4" s="15"/>
      <c r="J4" s="16">
        <v>45414</v>
      </c>
      <c r="L4" s="17"/>
      <c r="P4" s="4"/>
    </row>
    <row r="5" spans="1:17" s="3" customFormat="1" ht="30" customHeight="1">
      <c r="B5" s="12" t="s">
        <v>8</v>
      </c>
      <c r="C5" s="132" t="s">
        <v>362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400*7.3</f>
        <v>2920</v>
      </c>
      <c r="Q6" s="4">
        <f>2700*6</f>
        <v>16200</v>
      </c>
    </row>
    <row r="7" spans="1:17" s="3" customFormat="1" ht="13.5" customHeight="1" thickBot="1">
      <c r="B7" s="23"/>
      <c r="C7" s="24"/>
      <c r="D7" s="24"/>
      <c r="G7" s="25"/>
      <c r="J7" s="26"/>
      <c r="P7" s="4">
        <f>400*6.3</f>
        <v>2520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7" s="3" customFormat="1" ht="20.100000000000001" customHeight="1">
      <c r="B10" s="36">
        <v>60</v>
      </c>
      <c r="C10" s="37" t="s">
        <v>16</v>
      </c>
      <c r="D10" s="3" t="s">
        <v>87</v>
      </c>
      <c r="E10" s="38"/>
      <c r="F10" s="39">
        <v>600</v>
      </c>
      <c r="G10" s="40"/>
      <c r="H10" s="41"/>
      <c r="I10" s="42"/>
      <c r="J10" s="43">
        <f>F10*B10</f>
        <v>36000</v>
      </c>
      <c r="K10" s="3">
        <f>19.8+20.4+19.8</f>
        <v>60</v>
      </c>
      <c r="M10" s="5"/>
      <c r="O10" s="4"/>
    </row>
    <row r="11" spans="1:17" s="3" customFormat="1" ht="20.100000000000001" customHeight="1">
      <c r="B11" s="36">
        <v>160</v>
      </c>
      <c r="C11" s="37" t="s">
        <v>16</v>
      </c>
      <c r="D11" s="44" t="s">
        <v>142</v>
      </c>
      <c r="E11" s="38"/>
      <c r="F11" s="39">
        <v>900</v>
      </c>
      <c r="G11" s="45"/>
      <c r="H11" s="41"/>
      <c r="I11" s="42"/>
      <c r="J11" s="43">
        <f>F11*B11</f>
        <v>144000</v>
      </c>
      <c r="K11" s="3">
        <f>20.4+20.2+19.8+19.6+20.4+19.6+20.4+19.6</f>
        <v>160</v>
      </c>
      <c r="M11" s="5"/>
      <c r="O11" s="4"/>
    </row>
    <row r="12" spans="1:17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7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7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7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180000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6ECF1-8CAF-4733-8EA8-F4C097E8B98A}">
  <sheetPr codeName="Sheet9">
    <tabColor rgb="FF0070C0"/>
  </sheetPr>
  <dimension ref="A1:P52"/>
  <sheetViews>
    <sheetView view="pageBreakPreview" topLeftCell="A4" zoomScale="80" zoomScaleNormal="100" zoomScaleSheetLayoutView="80" workbookViewId="0">
      <selection activeCell="B10" sqref="B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31"/>
      <c r="D3" s="131"/>
      <c r="E3" s="131"/>
      <c r="F3" s="11" t="s">
        <v>4</v>
      </c>
      <c r="G3" s="11"/>
      <c r="H3" s="11"/>
      <c r="I3" s="11"/>
      <c r="J3" s="77">
        <v>108</v>
      </c>
      <c r="O3" s="4"/>
      <c r="P3" s="4"/>
    </row>
    <row r="4" spans="1:16" s="3" customFormat="1" ht="30" customHeight="1">
      <c r="B4" s="12" t="s">
        <v>5</v>
      </c>
      <c r="C4" s="13" t="s">
        <v>357</v>
      </c>
      <c r="D4" s="10"/>
      <c r="E4" s="10"/>
      <c r="F4" s="14" t="s">
        <v>7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2" t="s">
        <v>8</v>
      </c>
      <c r="C5" s="132" t="s">
        <v>358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6</v>
      </c>
      <c r="C10" s="37" t="s">
        <v>178</v>
      </c>
      <c r="D10" s="117" t="s">
        <v>359</v>
      </c>
      <c r="E10" s="38"/>
      <c r="F10" s="39"/>
      <c r="G10" s="40"/>
      <c r="H10" s="41"/>
      <c r="I10" s="42"/>
      <c r="J10" s="43"/>
      <c r="M10" s="5"/>
      <c r="O10" s="4"/>
    </row>
    <row r="11" spans="1:16" s="3" customFormat="1" ht="20.100000000000001" customHeight="1">
      <c r="B11" s="36">
        <v>7</v>
      </c>
      <c r="C11" s="37" t="s">
        <v>178</v>
      </c>
      <c r="D11" s="117" t="s">
        <v>360</v>
      </c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M37" s="5">
        <f>336.77-97.5</f>
        <v>239.26999999999998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78BB4C-466E-4E41-8D59-0D971C88BA8C}">
  <sheetPr codeName="Sheet10">
    <tabColor rgb="FF0070C0"/>
  </sheetPr>
  <dimension ref="A1:P52"/>
  <sheetViews>
    <sheetView view="pageBreakPreview" zoomScale="80" zoomScaleNormal="100" zoomScaleSheetLayoutView="80" workbookViewId="0">
      <selection activeCell="B10" sqref="B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107</v>
      </c>
      <c r="O3" s="4"/>
      <c r="P3" s="4"/>
    </row>
    <row r="4" spans="1:16" s="3" customFormat="1" ht="30" customHeight="1">
      <c r="B4" s="12" t="s">
        <v>5</v>
      </c>
      <c r="C4" s="13" t="s">
        <v>355</v>
      </c>
      <c r="D4" s="10"/>
      <c r="E4" s="10"/>
      <c r="F4" s="14" t="s">
        <v>7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2" t="s">
        <v>8</v>
      </c>
      <c r="C5" s="132" t="s">
        <v>352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250</v>
      </c>
      <c r="C10" s="37" t="s">
        <v>354</v>
      </c>
      <c r="D10" s="46" t="s">
        <v>94</v>
      </c>
      <c r="E10" s="38"/>
      <c r="F10" s="39">
        <v>185</v>
      </c>
      <c r="G10" s="40"/>
      <c r="H10" s="41"/>
      <c r="I10" s="42"/>
      <c r="J10" s="43">
        <f>F10*B10</f>
        <v>46250</v>
      </c>
      <c r="M10" s="5"/>
      <c r="O10" s="4"/>
    </row>
    <row r="11" spans="1:16" s="3" customFormat="1" ht="20.100000000000001" customHeight="1">
      <c r="B11" s="36"/>
      <c r="C11" s="37"/>
      <c r="D11" s="46"/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46250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M37" s="5">
        <f>336.77-97.5</f>
        <v>239.26999999999998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BF8FE6-B256-480D-BE82-E3F7FFB3D6B5}">
  <sheetPr>
    <tabColor rgb="FF7030A0"/>
  </sheetPr>
  <dimension ref="A1:P45"/>
  <sheetViews>
    <sheetView view="pageBreakPreview" zoomScale="90" zoomScaleNormal="100" zoomScaleSheetLayoutView="90" workbookViewId="0">
      <selection activeCell="D20" sqref="D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133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45448</v>
      </c>
      <c r="L4" s="17"/>
      <c r="P4" s="4"/>
    </row>
    <row r="5" spans="1:16" s="3" customFormat="1" ht="30" customHeight="1">
      <c r="B5" s="12" t="s">
        <v>8</v>
      </c>
      <c r="C5" s="132" t="s">
        <v>367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1" t="s">
        <v>101</v>
      </c>
      <c r="E10" s="152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402</v>
      </c>
      <c r="E11" s="90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102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4" t="s">
        <v>103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90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3"/>
      <c r="M17" s="153"/>
      <c r="N17" s="153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3"/>
      <c r="M18" s="153"/>
      <c r="N18" s="153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3"/>
      <c r="M19" s="153"/>
      <c r="N19" s="153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42:C42"/>
    <mergeCell ref="D10:E10"/>
    <mergeCell ref="L17:N19"/>
    <mergeCell ref="B26:B27"/>
    <mergeCell ref="C26:C27"/>
    <mergeCell ref="D26:E27"/>
    <mergeCell ref="F26:G27"/>
    <mergeCell ref="J26:J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83481C-468F-4756-A257-D3503E77DF74}">
  <sheetPr codeName="Sheet11">
    <tabColor rgb="FF0070C0"/>
  </sheetPr>
  <dimension ref="A1:P52"/>
  <sheetViews>
    <sheetView view="pageBreakPreview" topLeftCell="A3" zoomScale="80" zoomScaleNormal="100" zoomScaleSheetLayoutView="80" workbookViewId="0">
      <selection activeCell="B10" sqref="B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106</v>
      </c>
      <c r="O3" s="4"/>
      <c r="P3" s="4"/>
    </row>
    <row r="4" spans="1:16" s="3" customFormat="1" ht="30" customHeight="1">
      <c r="B4" s="12" t="s">
        <v>5</v>
      </c>
      <c r="C4" s="13" t="s">
        <v>356</v>
      </c>
      <c r="D4" s="10"/>
      <c r="E4" s="10"/>
      <c r="F4" s="14" t="s">
        <v>7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2" t="s">
        <v>8</v>
      </c>
      <c r="C5" s="132" t="s">
        <v>352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270</v>
      </c>
      <c r="C10" s="37" t="s">
        <v>16</v>
      </c>
      <c r="D10" s="3" t="s">
        <v>142</v>
      </c>
      <c r="E10" s="38"/>
      <c r="F10" s="39">
        <v>900</v>
      </c>
      <c r="G10" s="40"/>
      <c r="H10" s="41"/>
      <c r="I10" s="42"/>
      <c r="J10" s="43">
        <f>F10*B10</f>
        <v>243000</v>
      </c>
      <c r="M10" s="5"/>
      <c r="O10" s="4"/>
    </row>
    <row r="11" spans="1:16" s="3" customFormat="1" ht="20.100000000000001" customHeight="1">
      <c r="B11" s="36">
        <v>90</v>
      </c>
      <c r="C11" s="37" t="s">
        <v>16</v>
      </c>
      <c r="D11" s="44" t="s">
        <v>353</v>
      </c>
      <c r="E11" s="38"/>
      <c r="F11" s="39">
        <v>600</v>
      </c>
      <c r="G11" s="45"/>
      <c r="H11" s="41"/>
      <c r="I11" s="42"/>
      <c r="J11" s="43">
        <f>F11*B11</f>
        <v>54000</v>
      </c>
      <c r="M11" s="5"/>
      <c r="O11" s="4"/>
    </row>
    <row r="12" spans="1:16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297000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M37" s="5">
        <f>336.77-97.5</f>
        <v>239.26999999999998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D08E23-5150-4155-A4AE-B87FB4E57A05}">
  <sheetPr codeName="Sheet12">
    <tabColor rgb="FF0070C0"/>
  </sheetPr>
  <dimension ref="A1:P52"/>
  <sheetViews>
    <sheetView view="pageBreakPreview" zoomScale="80" zoomScaleNormal="100" zoomScaleSheetLayoutView="80" workbookViewId="0">
      <selection activeCell="M6" sqref="M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105</v>
      </c>
      <c r="O3" s="4"/>
      <c r="P3" s="4"/>
    </row>
    <row r="4" spans="1:16" s="3" customFormat="1" ht="30" customHeight="1">
      <c r="B4" s="12" t="s">
        <v>5</v>
      </c>
      <c r="C4" s="13" t="s">
        <v>348</v>
      </c>
      <c r="D4" s="10"/>
      <c r="E4" s="10"/>
      <c r="F4" s="14" t="s">
        <v>7</v>
      </c>
      <c r="G4" s="15"/>
      <c r="H4" s="15"/>
      <c r="I4" s="15"/>
      <c r="J4" s="16">
        <v>45406</v>
      </c>
      <c r="L4" s="17"/>
      <c r="P4" s="4"/>
    </row>
    <row r="5" spans="1:16" s="3" customFormat="1" ht="30" customHeight="1">
      <c r="B5" s="12" t="s">
        <v>8</v>
      </c>
      <c r="C5" s="132" t="s">
        <v>347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267.75</v>
      </c>
      <c r="C10" s="37" t="s">
        <v>16</v>
      </c>
      <c r="D10" s="3" t="s">
        <v>351</v>
      </c>
      <c r="E10" s="38"/>
      <c r="F10" s="39">
        <v>500</v>
      </c>
      <c r="G10" s="40"/>
      <c r="H10" s="41"/>
      <c r="I10" s="42"/>
      <c r="J10" s="43">
        <f>F10*B10</f>
        <v>133875</v>
      </c>
      <c r="M10" s="5"/>
      <c r="O10" s="4"/>
    </row>
    <row r="11" spans="1:16" s="3" customFormat="1" ht="20.100000000000001" customHeight="1">
      <c r="B11" s="36"/>
      <c r="C11" s="37"/>
      <c r="D11" s="44" t="s">
        <v>349</v>
      </c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>
        <f>85*3.15</f>
        <v>267.75</v>
      </c>
      <c r="E12" s="47"/>
      <c r="F12" s="39"/>
      <c r="G12" s="45"/>
      <c r="H12" s="41"/>
      <c r="I12" s="42"/>
      <c r="J12" s="43"/>
      <c r="K12" s="48">
        <f>J10-J12</f>
        <v>133875</v>
      </c>
      <c r="L12" s="3" t="s">
        <v>189</v>
      </c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133875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D45" s="7">
        <f>3.88*30</f>
        <v>116.39999999999999</v>
      </c>
      <c r="M45" s="75"/>
    </row>
    <row r="49" spans="5:6">
      <c r="E49" s="8">
        <f>418460+328300+309680+322420</f>
        <v>1378860</v>
      </c>
    </row>
    <row r="50" spans="5:6">
      <c r="E50" s="5">
        <f>E49-1378860</f>
        <v>0</v>
      </c>
    </row>
    <row r="52" spans="5:6">
      <c r="E52" s="76">
        <f>E49/281.4</f>
        <v>4900</v>
      </c>
      <c r="F52" s="76">
        <f>E49/4900</f>
        <v>281.39999999999998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D3CA34-EC06-4848-81E9-A2F45ADF5BEA}">
  <sheetPr codeName="Sheet13">
    <tabColor rgb="FF0070C0"/>
  </sheetPr>
  <dimension ref="A1:P52"/>
  <sheetViews>
    <sheetView view="pageBreakPreview" topLeftCell="A28" zoomScale="80" zoomScaleNormal="100" zoomScaleSheetLayoutView="80" workbookViewId="0">
      <selection activeCell="C41" sqref="C4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104</v>
      </c>
      <c r="O3" s="4"/>
      <c r="P3" s="4"/>
    </row>
    <row r="4" spans="1:16" s="3" customFormat="1" ht="30" customHeight="1">
      <c r="B4" s="12" t="s">
        <v>5</v>
      </c>
      <c r="C4" s="13" t="s">
        <v>344</v>
      </c>
      <c r="D4" s="10"/>
      <c r="E4" s="10"/>
      <c r="F4" s="14" t="s">
        <v>7</v>
      </c>
      <c r="G4" s="15"/>
      <c r="H4" s="15"/>
      <c r="I4" s="15"/>
      <c r="J4" s="16">
        <v>45406</v>
      </c>
      <c r="L4" s="17"/>
      <c r="P4" s="4"/>
    </row>
    <row r="5" spans="1:16" s="3" customFormat="1" ht="30" customHeight="1">
      <c r="B5" s="12" t="s">
        <v>8</v>
      </c>
      <c r="C5" s="132" t="s">
        <v>346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158.1</v>
      </c>
      <c r="C10" s="37" t="s">
        <v>16</v>
      </c>
      <c r="D10" s="3" t="s">
        <v>350</v>
      </c>
      <c r="E10" s="38"/>
      <c r="F10" s="39">
        <v>500</v>
      </c>
      <c r="G10" s="40"/>
      <c r="H10" s="41"/>
      <c r="I10" s="42"/>
      <c r="J10" s="43">
        <f>F10*B10</f>
        <v>79050</v>
      </c>
      <c r="M10" s="5"/>
      <c r="O10" s="4"/>
    </row>
    <row r="11" spans="1:16" s="3" customFormat="1" ht="20.100000000000001" customHeight="1">
      <c r="B11" s="36"/>
      <c r="C11" s="37"/>
      <c r="D11" s="44" t="s">
        <v>345</v>
      </c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>
        <f>170*0.93</f>
        <v>158.1</v>
      </c>
      <c r="E12" s="47"/>
      <c r="F12" s="39"/>
      <c r="G12" s="45"/>
      <c r="H12" s="41"/>
      <c r="I12" s="42"/>
      <c r="J12" s="43"/>
      <c r="K12" s="48">
        <f>J10-J12</f>
        <v>79050</v>
      </c>
      <c r="L12" s="3" t="s">
        <v>189</v>
      </c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L13" s="3">
        <f>79900/500</f>
        <v>159.80000000000001</v>
      </c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79050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D45" s="7">
        <f>3.88*30</f>
        <v>116.39999999999999</v>
      </c>
      <c r="M45" s="75"/>
    </row>
    <row r="49" spans="5:6">
      <c r="E49" s="8">
        <f>418460+328300+309680+322420</f>
        <v>1378860</v>
      </c>
    </row>
    <row r="50" spans="5:6">
      <c r="E50" s="5">
        <f>E49-1378860</f>
        <v>0</v>
      </c>
    </row>
    <row r="52" spans="5:6">
      <c r="E52" s="76">
        <f>E49/281.4</f>
        <v>4900</v>
      </c>
      <c r="F52" s="76">
        <f>E49/4900</f>
        <v>281.39999999999998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1644C-5E58-4569-92D1-D75B83A0AF8D}">
  <sheetPr codeName="Sheet14">
    <tabColor rgb="FF0070C0"/>
  </sheetPr>
  <dimension ref="A1:P45"/>
  <sheetViews>
    <sheetView view="pageBreakPreview" zoomScale="90" zoomScaleNormal="100" zoomScaleSheetLayoutView="90" workbookViewId="0">
      <selection activeCell="D12" sqref="D12:E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106"/>
      <c r="O1" s="4"/>
    </row>
    <row r="2" spans="1:16" ht="15" thickTop="1"/>
    <row r="3" spans="1:16" s="3" customFormat="1" ht="30" customHeight="1">
      <c r="B3" s="9" t="s">
        <v>2</v>
      </c>
      <c r="C3" s="131"/>
      <c r="D3" s="131"/>
      <c r="E3" s="131"/>
      <c r="F3" s="11" t="s">
        <v>4</v>
      </c>
      <c r="G3" s="11"/>
      <c r="H3" s="11"/>
      <c r="I3" s="11"/>
      <c r="J3" s="77">
        <v>103</v>
      </c>
      <c r="L3" s="4"/>
      <c r="O3" s="4"/>
    </row>
    <row r="4" spans="1:16" s="3" customFormat="1" ht="30" customHeight="1">
      <c r="B4" s="12" t="s">
        <v>5</v>
      </c>
      <c r="C4" s="13" t="s">
        <v>334</v>
      </c>
      <c r="D4" s="10"/>
      <c r="E4" s="10"/>
      <c r="F4" s="14" t="s">
        <v>7</v>
      </c>
      <c r="G4" s="15"/>
      <c r="H4" s="15"/>
      <c r="I4" s="15"/>
      <c r="J4" s="16">
        <v>45401</v>
      </c>
      <c r="L4" s="4"/>
      <c r="P4" s="4"/>
    </row>
    <row r="5" spans="1:16" s="3" customFormat="1" ht="30" customHeight="1">
      <c r="B5" s="12" t="s">
        <v>8</v>
      </c>
      <c r="C5" s="132" t="s">
        <v>340</v>
      </c>
      <c r="D5" s="132"/>
      <c r="E5" s="132"/>
      <c r="F5" s="15" t="s">
        <v>10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5"/>
      <c r="M9" s="107" t="s">
        <v>335</v>
      </c>
      <c r="P9" s="35"/>
    </row>
    <row r="10" spans="1:16" s="24" customFormat="1" ht="2.25" customHeight="1">
      <c r="B10" s="108"/>
      <c r="C10" s="109"/>
      <c r="D10" s="177"/>
      <c r="E10" s="178"/>
      <c r="F10" s="179"/>
      <c r="G10" s="180"/>
      <c r="H10" s="110"/>
      <c r="I10" s="111"/>
      <c r="J10" s="112"/>
      <c r="L10" s="78"/>
      <c r="P10" s="78"/>
    </row>
    <row r="11" spans="1:16" s="3" customFormat="1" ht="20.100000000000001" customHeight="1">
      <c r="B11" s="36"/>
      <c r="C11" s="37"/>
      <c r="D11" s="181" t="s">
        <v>343</v>
      </c>
      <c r="E11" s="182"/>
      <c r="F11" s="39"/>
      <c r="G11" s="45"/>
      <c r="H11" s="41"/>
      <c r="I11" s="42"/>
      <c r="J11" s="43">
        <v>70000</v>
      </c>
      <c r="L11" s="4"/>
      <c r="M11" s="1"/>
      <c r="N11" s="1"/>
      <c r="O11" s="4"/>
    </row>
    <row r="12" spans="1:16" s="3" customFormat="1" ht="20.100000000000001" customHeight="1">
      <c r="B12" s="36"/>
      <c r="C12" s="37"/>
      <c r="D12" s="175" t="s">
        <v>342</v>
      </c>
      <c r="E12" s="176"/>
      <c r="F12" s="39"/>
      <c r="G12" s="40"/>
      <c r="H12" s="41"/>
      <c r="I12" s="42"/>
      <c r="J12" s="43"/>
      <c r="L12" s="113">
        <v>2451</v>
      </c>
      <c r="M12" s="5"/>
      <c r="N12" s="5"/>
      <c r="P12" s="4"/>
    </row>
    <row r="13" spans="1:16" s="3" customFormat="1" ht="20.100000000000001" customHeight="1">
      <c r="B13" s="36"/>
      <c r="C13" s="37"/>
      <c r="D13" s="175" t="s">
        <v>341</v>
      </c>
      <c r="E13" s="176"/>
      <c r="F13" s="39"/>
      <c r="G13" s="101"/>
      <c r="H13" s="41"/>
      <c r="I13" s="42"/>
      <c r="J13" s="43"/>
      <c r="L13" s="113"/>
      <c r="M13" s="5"/>
      <c r="O13" s="102"/>
      <c r="P13" s="81"/>
    </row>
    <row r="14" spans="1:16" s="3" customFormat="1" ht="20.100000000000001" customHeight="1">
      <c r="B14" s="36"/>
      <c r="C14" s="37"/>
      <c r="D14" s="107"/>
      <c r="E14" s="38"/>
      <c r="F14" s="39"/>
      <c r="G14" s="40"/>
      <c r="H14" s="41"/>
      <c r="I14" s="42"/>
      <c r="J14" s="43"/>
      <c r="L14" s="4"/>
      <c r="M14" s="1"/>
      <c r="N14" s="1"/>
      <c r="O14" s="4"/>
      <c r="P14" s="81"/>
    </row>
    <row r="15" spans="1:16" s="3" customFormat="1" ht="20.100000000000001" customHeight="1">
      <c r="B15" s="36"/>
      <c r="C15" s="37"/>
      <c r="D15" s="107"/>
      <c r="E15" s="38"/>
      <c r="F15" s="39"/>
      <c r="G15" s="101"/>
      <c r="H15" s="41"/>
      <c r="I15" s="42"/>
      <c r="J15" s="43"/>
      <c r="L15" s="4"/>
      <c r="M15" s="1"/>
      <c r="N15" s="1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113"/>
      <c r="M16" s="5"/>
      <c r="O16" s="102"/>
      <c r="P16" s="81"/>
    </row>
    <row r="17" spans="2:16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4"/>
      <c r="M17" s="1"/>
      <c r="N17" s="1"/>
      <c r="O17" s="4"/>
      <c r="P17" s="81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L18" s="4"/>
      <c r="M18" s="1"/>
      <c r="N18" s="1"/>
      <c r="O18" s="4"/>
    </row>
    <row r="19" spans="2:16" s="3" customFormat="1" ht="20.100000000000001" customHeight="1">
      <c r="B19" s="36"/>
      <c r="C19" s="57"/>
      <c r="D19" s="114"/>
      <c r="E19" s="88"/>
      <c r="F19" s="54"/>
      <c r="G19" s="45"/>
      <c r="H19" s="41"/>
      <c r="I19" s="42"/>
      <c r="J19" s="58"/>
      <c r="L19" s="4"/>
      <c r="M19" s="5"/>
      <c r="N19" s="55"/>
      <c r="O19" s="4"/>
    </row>
    <row r="20" spans="2:16" s="3" customFormat="1" ht="20.100000000000001" customHeight="1">
      <c r="B20" s="36"/>
      <c r="C20" s="57"/>
      <c r="D20" s="114"/>
      <c r="E20" s="50"/>
      <c r="F20" s="54"/>
      <c r="G20" s="45"/>
      <c r="H20" s="41"/>
      <c r="I20" s="42"/>
      <c r="J20" s="58"/>
      <c r="L20" s="4"/>
      <c r="M20" s="5"/>
      <c r="O20" s="4"/>
    </row>
    <row r="21" spans="2:16" s="3" customFormat="1" ht="20.100000000000001" customHeight="1">
      <c r="B21" s="36"/>
      <c r="C21" s="57"/>
      <c r="D21" s="115"/>
      <c r="E21" s="53"/>
      <c r="F21" s="54"/>
      <c r="G21" s="45"/>
      <c r="H21" s="41"/>
      <c r="I21" s="42"/>
      <c r="J21" s="58"/>
      <c r="L21" s="4"/>
      <c r="M21" s="5"/>
      <c r="O21" s="4"/>
    </row>
    <row r="22" spans="2:16" s="3" customFormat="1" ht="20.100000000000001" customHeight="1">
      <c r="B22" s="36"/>
      <c r="C22" s="37"/>
      <c r="D22" s="49"/>
      <c r="E22" s="38"/>
      <c r="F22" s="39"/>
      <c r="G22" s="45"/>
      <c r="H22" s="41"/>
      <c r="I22" s="42"/>
      <c r="J22" s="43"/>
      <c r="L22" s="4"/>
      <c r="M22" s="5"/>
      <c r="O22" s="4"/>
    </row>
    <row r="23" spans="2:16" s="3" customFormat="1" ht="20.100000000000001" customHeight="1">
      <c r="B23" s="36"/>
      <c r="C23" s="37"/>
      <c r="D23" s="49"/>
      <c r="E23" s="38"/>
      <c r="F23" s="39"/>
      <c r="G23" s="45"/>
      <c r="H23" s="41"/>
      <c r="I23" s="42"/>
      <c r="J23" s="43"/>
      <c r="L23" s="4"/>
      <c r="M23" s="5"/>
      <c r="O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4"/>
      <c r="M24" s="5"/>
      <c r="O24" s="4"/>
    </row>
    <row r="25" spans="2:16" s="3" customFormat="1" ht="20.100000000000001" customHeight="1">
      <c r="B25" s="36"/>
      <c r="C25" s="57"/>
      <c r="D25" s="116"/>
      <c r="E25" s="50"/>
      <c r="F25" s="54"/>
      <c r="G25" s="45"/>
      <c r="H25" s="41"/>
      <c r="I25" s="42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SUM(J11:J25)</f>
        <v>70000</v>
      </c>
      <c r="K26" s="148"/>
      <c r="L26" s="173">
        <f t="shared" ref="L26" si="0">SUM(L11:L25)</f>
        <v>35483.51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K27" s="149"/>
      <c r="L27" s="174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L33" s="5"/>
      <c r="M33" s="7"/>
    </row>
    <row r="34" spans="2:16">
      <c r="B34" s="7"/>
      <c r="C34" s="67" t="s">
        <v>336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L34" s="5"/>
      <c r="M34" s="71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1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1"/>
      <c r="O36" s="5"/>
      <c r="P36" s="8"/>
    </row>
    <row r="37" spans="2:16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6">
      <c r="B42" s="125"/>
      <c r="C42" s="125"/>
      <c r="E42" s="7"/>
      <c r="F42" s="7"/>
    </row>
    <row r="43" spans="2:16" ht="15.75" customHeight="1"/>
    <row r="45" spans="2:16" ht="15">
      <c r="M45" s="75"/>
    </row>
  </sheetData>
  <mergeCells count="19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B26:B27"/>
    <mergeCell ref="C26:C27"/>
    <mergeCell ref="D26:E27"/>
    <mergeCell ref="F26:G27"/>
    <mergeCell ref="J26:J27"/>
    <mergeCell ref="K26:K27"/>
    <mergeCell ref="L26:L27"/>
    <mergeCell ref="B42:C42"/>
    <mergeCell ref="D13:E13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59858F-8AA4-4E27-8B50-A589F6D56C0A}">
  <sheetPr codeName="Sheet15">
    <tabColor rgb="FF0070C0"/>
  </sheetPr>
  <dimension ref="A1:P45"/>
  <sheetViews>
    <sheetView view="pageBreakPreview" topLeftCell="A22" zoomScale="90" zoomScaleNormal="100" zoomScaleSheetLayoutView="90" workbookViewId="0">
      <selection activeCell="E14" sqref="E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106"/>
      <c r="O1" s="4"/>
    </row>
    <row r="2" spans="1:16" ht="15" thickTop="1"/>
    <row r="3" spans="1:16" s="3" customFormat="1" ht="30" customHeight="1">
      <c r="B3" s="9" t="s">
        <v>2</v>
      </c>
      <c r="C3" s="131"/>
      <c r="D3" s="131"/>
      <c r="E3" s="131"/>
      <c r="F3" s="11" t="s">
        <v>4</v>
      </c>
      <c r="G3" s="11"/>
      <c r="H3" s="11"/>
      <c r="I3" s="11"/>
      <c r="J3" s="77">
        <v>102</v>
      </c>
      <c r="L3" s="4"/>
      <c r="O3" s="4"/>
    </row>
    <row r="4" spans="1:16" s="3" customFormat="1" ht="30" customHeight="1">
      <c r="B4" s="12" t="s">
        <v>5</v>
      </c>
      <c r="C4" s="13" t="s">
        <v>334</v>
      </c>
      <c r="D4" s="10"/>
      <c r="E4" s="10"/>
      <c r="F4" s="14" t="s">
        <v>7</v>
      </c>
      <c r="G4" s="15"/>
      <c r="H4" s="15"/>
      <c r="I4" s="15"/>
      <c r="J4" s="16">
        <v>45400</v>
      </c>
      <c r="L4" s="4"/>
      <c r="P4" s="4"/>
    </row>
    <row r="5" spans="1:16" s="3" customFormat="1" ht="30" customHeight="1">
      <c r="B5" s="12" t="s">
        <v>8</v>
      </c>
      <c r="C5" s="132" t="s">
        <v>333</v>
      </c>
      <c r="D5" s="132"/>
      <c r="E5" s="132"/>
      <c r="F5" s="15" t="s">
        <v>10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5"/>
      <c r="M9" s="107" t="s">
        <v>335</v>
      </c>
      <c r="P9" s="35"/>
    </row>
    <row r="10" spans="1:16" s="24" customFormat="1" ht="2.25" customHeight="1">
      <c r="B10" s="108"/>
      <c r="C10" s="109"/>
      <c r="D10" s="177"/>
      <c r="E10" s="178"/>
      <c r="F10" s="179"/>
      <c r="G10" s="180"/>
      <c r="H10" s="110"/>
      <c r="I10" s="111"/>
      <c r="J10" s="112"/>
      <c r="L10" s="78"/>
      <c r="P10" s="78"/>
    </row>
    <row r="11" spans="1:16" s="3" customFormat="1" ht="20.100000000000001" customHeight="1">
      <c r="B11" s="36"/>
      <c r="C11" s="37"/>
      <c r="D11" s="181" t="s">
        <v>337</v>
      </c>
      <c r="E11" s="182"/>
      <c r="F11" s="39"/>
      <c r="G11" s="45"/>
      <c r="H11" s="41"/>
      <c r="I11" s="42"/>
      <c r="J11" s="43">
        <v>90000</v>
      </c>
      <c r="L11" s="4"/>
      <c r="M11" s="1"/>
      <c r="N11" s="1"/>
      <c r="O11" s="4"/>
    </row>
    <row r="12" spans="1:16" s="3" customFormat="1" ht="20.100000000000001" customHeight="1">
      <c r="B12" s="36"/>
      <c r="C12" s="37"/>
      <c r="D12" s="181" t="s">
        <v>338</v>
      </c>
      <c r="E12" s="182"/>
      <c r="F12" s="39"/>
      <c r="G12" s="40"/>
      <c r="H12" s="41"/>
      <c r="I12" s="42"/>
      <c r="J12" s="43">
        <v>90000</v>
      </c>
      <c r="L12" s="113">
        <v>2451</v>
      </c>
      <c r="M12" s="5"/>
      <c r="N12" s="5"/>
      <c r="P12" s="4"/>
    </row>
    <row r="13" spans="1:16" s="3" customFormat="1" ht="20.100000000000001" customHeight="1">
      <c r="B13" s="36"/>
      <c r="C13" s="37"/>
      <c r="D13" s="107"/>
      <c r="E13" s="38"/>
      <c r="F13" s="39"/>
      <c r="G13" s="101"/>
      <c r="H13" s="41"/>
      <c r="I13" s="42"/>
      <c r="J13" s="43"/>
      <c r="L13" s="113"/>
      <c r="M13" s="5"/>
      <c r="O13" s="102"/>
      <c r="P13" s="81"/>
    </row>
    <row r="14" spans="1:16" s="3" customFormat="1" ht="20.100000000000001" customHeight="1">
      <c r="B14" s="36"/>
      <c r="C14" s="37"/>
      <c r="D14" s="107"/>
      <c r="E14" s="38"/>
      <c r="F14" s="39"/>
      <c r="G14" s="40"/>
      <c r="H14" s="41"/>
      <c r="I14" s="42"/>
      <c r="J14" s="43"/>
      <c r="L14" s="4"/>
      <c r="M14" s="1"/>
      <c r="N14" s="1"/>
      <c r="O14" s="4"/>
      <c r="P14" s="81"/>
    </row>
    <row r="15" spans="1:16" s="3" customFormat="1" ht="20.100000000000001" customHeight="1">
      <c r="B15" s="36"/>
      <c r="C15" s="37"/>
      <c r="D15" s="107"/>
      <c r="E15" s="38"/>
      <c r="F15" s="39"/>
      <c r="G15" s="101"/>
      <c r="H15" s="41"/>
      <c r="I15" s="42"/>
      <c r="J15" s="43"/>
      <c r="L15" s="4"/>
      <c r="M15" s="1"/>
      <c r="N15" s="1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113"/>
      <c r="M16" s="5"/>
      <c r="O16" s="102"/>
      <c r="P16" s="81"/>
    </row>
    <row r="17" spans="2:16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4"/>
      <c r="M17" s="1"/>
      <c r="N17" s="1"/>
      <c r="O17" s="4"/>
      <c r="P17" s="81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L18" s="4"/>
      <c r="M18" s="1"/>
      <c r="N18" s="1"/>
      <c r="O18" s="4"/>
    </row>
    <row r="19" spans="2:16" s="3" customFormat="1" ht="20.100000000000001" customHeight="1">
      <c r="B19" s="36"/>
      <c r="C19" s="57"/>
      <c r="D19" s="114"/>
      <c r="E19" s="88"/>
      <c r="F19" s="54"/>
      <c r="G19" s="45"/>
      <c r="H19" s="41"/>
      <c r="I19" s="42"/>
      <c r="J19" s="58"/>
      <c r="L19" s="4"/>
      <c r="M19" s="5"/>
      <c r="N19" s="55"/>
      <c r="O19" s="4"/>
    </row>
    <row r="20" spans="2:16" s="3" customFormat="1" ht="20.100000000000001" customHeight="1">
      <c r="B20" s="36"/>
      <c r="C20" s="57"/>
      <c r="D20" s="114"/>
      <c r="E20" s="50"/>
      <c r="F20" s="54"/>
      <c r="G20" s="45"/>
      <c r="H20" s="41"/>
      <c r="I20" s="42"/>
      <c r="J20" s="58"/>
      <c r="L20" s="4"/>
      <c r="M20" s="5"/>
      <c r="O20" s="4"/>
    </row>
    <row r="21" spans="2:16" s="3" customFormat="1" ht="20.100000000000001" customHeight="1">
      <c r="B21" s="36"/>
      <c r="C21" s="57"/>
      <c r="D21" s="115"/>
      <c r="E21" s="53"/>
      <c r="F21" s="54"/>
      <c r="G21" s="45"/>
      <c r="H21" s="41"/>
      <c r="I21" s="42"/>
      <c r="J21" s="58"/>
      <c r="L21" s="4"/>
      <c r="M21" s="5"/>
      <c r="O21" s="4"/>
    </row>
    <row r="22" spans="2:16" s="3" customFormat="1" ht="20.100000000000001" customHeight="1">
      <c r="B22" s="36"/>
      <c r="C22" s="37"/>
      <c r="D22" s="49"/>
      <c r="E22" s="38"/>
      <c r="F22" s="39"/>
      <c r="G22" s="45"/>
      <c r="H22" s="41"/>
      <c r="I22" s="42"/>
      <c r="J22" s="43"/>
      <c r="L22" s="4"/>
      <c r="M22" s="5"/>
      <c r="O22" s="4"/>
    </row>
    <row r="23" spans="2:16" s="3" customFormat="1" ht="20.100000000000001" customHeight="1">
      <c r="B23" s="36"/>
      <c r="C23" s="37"/>
      <c r="D23" s="49"/>
      <c r="E23" s="38"/>
      <c r="F23" s="39"/>
      <c r="G23" s="45"/>
      <c r="H23" s="41"/>
      <c r="I23" s="42"/>
      <c r="J23" s="43"/>
      <c r="L23" s="4"/>
      <c r="M23" s="5"/>
      <c r="O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4"/>
      <c r="M24" s="5"/>
      <c r="O24" s="4"/>
    </row>
    <row r="25" spans="2:16" s="3" customFormat="1" ht="20.100000000000001" customHeight="1">
      <c r="B25" s="36"/>
      <c r="C25" s="57"/>
      <c r="D25" s="116"/>
      <c r="E25" s="50"/>
      <c r="F25" s="54"/>
      <c r="G25" s="45"/>
      <c r="H25" s="41"/>
      <c r="I25" s="42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339</v>
      </c>
      <c r="E26" s="141"/>
      <c r="F26" s="144" t="s">
        <v>19</v>
      </c>
      <c r="G26" s="145"/>
      <c r="H26" s="62"/>
      <c r="I26" s="62"/>
      <c r="J26" s="148">
        <f>SUM(J11:J25)</f>
        <v>180000</v>
      </c>
      <c r="K26" s="148"/>
      <c r="L26" s="173">
        <f t="shared" ref="L26" si="0">SUM(L11:L25)</f>
        <v>35483.51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K27" s="149"/>
      <c r="L27" s="174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L33" s="5"/>
      <c r="M33" s="7"/>
    </row>
    <row r="34" spans="2:16">
      <c r="B34" s="7"/>
      <c r="C34" s="67" t="s">
        <v>336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L34" s="5"/>
      <c r="M34" s="71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1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1"/>
      <c r="O36" s="5"/>
      <c r="P36" s="8"/>
    </row>
    <row r="37" spans="2:16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6">
      <c r="B42" s="125"/>
      <c r="C42" s="125"/>
      <c r="E42" s="7"/>
      <c r="F42" s="7"/>
    </row>
    <row r="43" spans="2:16" ht="15.75" customHeight="1"/>
    <row r="45" spans="2:16" ht="15">
      <c r="M45" s="75"/>
    </row>
  </sheetData>
  <mergeCells count="18">
    <mergeCell ref="J26:J27"/>
    <mergeCell ref="K26:K27"/>
    <mergeCell ref="L26:L27"/>
    <mergeCell ref="B42:C42"/>
    <mergeCell ref="D11:E11"/>
    <mergeCell ref="D12:E1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8BF0D0-FFF5-4BE2-B53A-E01E430EF26B}">
  <sheetPr codeName="Sheet16">
    <tabColor rgb="FFC00000"/>
  </sheetPr>
  <dimension ref="A1:P45"/>
  <sheetViews>
    <sheetView view="pageBreakPreview" zoomScale="90" zoomScaleNormal="100" zoomScaleSheetLayoutView="90" workbookViewId="0">
      <selection activeCell="E20" sqref="E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8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4"/>
      <c r="O1" s="4"/>
    </row>
    <row r="2" spans="1:16" ht="15" thickTop="1"/>
    <row r="3" spans="1:16" s="3" customFormat="1" ht="30" customHeight="1">
      <c r="B3" s="9" t="s">
        <v>2</v>
      </c>
      <c r="C3" s="154" t="s">
        <v>49</v>
      </c>
      <c r="D3" s="154"/>
      <c r="E3" s="154"/>
      <c r="F3" s="11" t="s">
        <v>4</v>
      </c>
      <c r="G3" s="11"/>
      <c r="H3" s="11"/>
      <c r="I3" s="11"/>
      <c r="J3" s="77">
        <v>101</v>
      </c>
      <c r="N3" s="4"/>
      <c r="O3" s="4"/>
    </row>
    <row r="4" spans="1:16" s="3" customFormat="1" ht="30" customHeight="1">
      <c r="B4" s="12" t="s">
        <v>5</v>
      </c>
      <c r="C4" s="13" t="s">
        <v>325</v>
      </c>
      <c r="D4" s="10"/>
      <c r="E4" s="10"/>
      <c r="F4" s="14" t="s">
        <v>7</v>
      </c>
      <c r="G4" s="15"/>
      <c r="H4" s="15"/>
      <c r="I4" s="15"/>
      <c r="J4" s="16">
        <v>45399</v>
      </c>
      <c r="L4" s="17"/>
      <c r="N4" s="4">
        <v>51550</v>
      </c>
      <c r="P4" s="4"/>
    </row>
    <row r="5" spans="1:16" s="3" customFormat="1" ht="30" customHeight="1">
      <c r="B5" s="12" t="s">
        <v>8</v>
      </c>
      <c r="C5" s="132" t="s">
        <v>333</v>
      </c>
      <c r="D5" s="132"/>
      <c r="E5" s="132"/>
      <c r="F5" s="15" t="s">
        <v>10</v>
      </c>
      <c r="G5" s="15"/>
      <c r="H5" s="15"/>
      <c r="I5" s="15"/>
      <c r="J5" s="16"/>
      <c r="N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N6" s="4"/>
      <c r="P6" s="4"/>
    </row>
    <row r="7" spans="1:16" s="3" customFormat="1" ht="13.5" customHeight="1" thickBot="1">
      <c r="B7" s="23"/>
      <c r="C7" s="24"/>
      <c r="D7" s="24"/>
      <c r="G7" s="25"/>
      <c r="J7" s="26"/>
      <c r="N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N9" s="35"/>
      <c r="P9" s="35"/>
    </row>
    <row r="10" spans="1:16" s="24" customFormat="1" ht="20.100000000000001" customHeight="1">
      <c r="B10" s="36">
        <v>1</v>
      </c>
      <c r="C10" s="37" t="s">
        <v>50</v>
      </c>
      <c r="D10" s="49" t="s">
        <v>326</v>
      </c>
      <c r="E10" s="38"/>
      <c r="F10" s="39">
        <v>5000</v>
      </c>
      <c r="G10" s="40"/>
      <c r="H10" s="41"/>
      <c r="I10" s="42"/>
      <c r="J10" s="43">
        <f>F10*B10</f>
        <v>5000</v>
      </c>
      <c r="L10" s="23"/>
      <c r="N10" s="78"/>
      <c r="P10" s="78"/>
    </row>
    <row r="11" spans="1:16" s="3" customFormat="1" ht="20.100000000000001" customHeight="1">
      <c r="B11" s="36">
        <v>1</v>
      </c>
      <c r="C11" s="37" t="s">
        <v>50</v>
      </c>
      <c r="D11" s="49" t="s">
        <v>327</v>
      </c>
      <c r="E11" s="38"/>
      <c r="F11" s="39">
        <v>5000</v>
      </c>
      <c r="G11" s="40"/>
      <c r="H11" s="41"/>
      <c r="I11" s="42"/>
      <c r="J11" s="43">
        <f t="shared" ref="J11:J16" si="0">F11*B11</f>
        <v>5000</v>
      </c>
      <c r="L11" s="23"/>
      <c r="M11" s="5"/>
      <c r="N11" s="8"/>
      <c r="P11" s="4"/>
    </row>
    <row r="12" spans="1:16" s="3" customFormat="1" ht="20.100000000000001" customHeight="1">
      <c r="B12" s="36">
        <v>1</v>
      </c>
      <c r="C12" s="37" t="s">
        <v>50</v>
      </c>
      <c r="D12" s="49" t="s">
        <v>328</v>
      </c>
      <c r="E12" s="38"/>
      <c r="F12" s="39">
        <v>5000</v>
      </c>
      <c r="G12" s="40"/>
      <c r="H12" s="41"/>
      <c r="I12" s="42"/>
      <c r="J12" s="43">
        <f t="shared" si="0"/>
        <v>5000</v>
      </c>
      <c r="L12" s="23"/>
      <c r="M12" s="5"/>
      <c r="N12" s="4"/>
      <c r="O12" s="4"/>
    </row>
    <row r="13" spans="1:16" s="3" customFormat="1" ht="20.100000000000001" customHeight="1">
      <c r="B13" s="36">
        <v>1</v>
      </c>
      <c r="C13" s="37" t="s">
        <v>50</v>
      </c>
      <c r="D13" s="49" t="s">
        <v>329</v>
      </c>
      <c r="E13" s="38"/>
      <c r="F13" s="39">
        <v>5000</v>
      </c>
      <c r="G13" s="45"/>
      <c r="H13" s="41"/>
      <c r="I13" s="42"/>
      <c r="J13" s="43">
        <f t="shared" si="0"/>
        <v>5000</v>
      </c>
      <c r="L13" s="23"/>
      <c r="M13" s="5"/>
      <c r="N13" s="4"/>
      <c r="O13" s="4"/>
      <c r="P13" s="81"/>
    </row>
    <row r="14" spans="1:16" s="3" customFormat="1" ht="20.100000000000001" customHeight="1">
      <c r="B14" s="36">
        <v>1</v>
      </c>
      <c r="C14" s="37" t="s">
        <v>50</v>
      </c>
      <c r="D14" s="49" t="s">
        <v>330</v>
      </c>
      <c r="E14" s="38"/>
      <c r="F14" s="39">
        <v>5000</v>
      </c>
      <c r="G14" s="45"/>
      <c r="H14" s="41"/>
      <c r="I14" s="42"/>
      <c r="J14" s="43">
        <f t="shared" si="0"/>
        <v>5000</v>
      </c>
      <c r="L14" s="23"/>
      <c r="M14" s="5"/>
      <c r="N14" s="4"/>
      <c r="O14" s="4"/>
    </row>
    <row r="15" spans="1:16" s="3" customFormat="1" ht="20.100000000000001" customHeight="1">
      <c r="B15" s="36">
        <v>1</v>
      </c>
      <c r="C15" s="37" t="s">
        <v>50</v>
      </c>
      <c r="D15" s="49" t="s">
        <v>331</v>
      </c>
      <c r="E15" s="47"/>
      <c r="F15" s="39">
        <v>5000</v>
      </c>
      <c r="G15" s="45"/>
      <c r="H15" s="41"/>
      <c r="I15" s="42"/>
      <c r="J15" s="43">
        <f t="shared" si="0"/>
        <v>5000</v>
      </c>
      <c r="L15" s="23"/>
      <c r="M15" s="5"/>
      <c r="N15" s="4"/>
      <c r="O15" s="4"/>
    </row>
    <row r="16" spans="1:16" s="3" customFormat="1" ht="20.100000000000001" customHeight="1">
      <c r="B16" s="36">
        <v>1</v>
      </c>
      <c r="C16" s="37" t="s">
        <v>50</v>
      </c>
      <c r="D16" s="49" t="s">
        <v>332</v>
      </c>
      <c r="E16" s="50"/>
      <c r="F16" s="39">
        <v>5000</v>
      </c>
      <c r="G16" s="45"/>
      <c r="H16" s="41"/>
      <c r="I16" s="42"/>
      <c r="J16" s="43">
        <f t="shared" si="0"/>
        <v>5000</v>
      </c>
      <c r="L16" s="23"/>
      <c r="M16" s="5"/>
      <c r="N16" s="4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39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39"/>
      <c r="G21" s="45"/>
      <c r="H21" s="41"/>
      <c r="I21" s="42"/>
      <c r="J21" s="43"/>
      <c r="M21" s="5"/>
      <c r="N21" s="4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N22" s="4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4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N24" s="4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N25" s="4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35000</v>
      </c>
      <c r="M26" s="63"/>
      <c r="N26" s="4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N27" s="4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84FC3E-18C4-4F93-8EAE-8783C20AFC1F}">
  <sheetPr codeName="Sheet17">
    <tabColor rgb="FF00B0F0"/>
  </sheetPr>
  <dimension ref="A1:P45"/>
  <sheetViews>
    <sheetView view="pageBreakPreview" zoomScaleNormal="100" zoomScaleSheetLayoutView="100" workbookViewId="0">
      <selection activeCell="E47" sqref="E4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3" t="s">
        <v>323</v>
      </c>
      <c r="D3" s="183"/>
      <c r="E3" s="183"/>
      <c r="F3" s="11" t="s">
        <v>4</v>
      </c>
      <c r="G3" s="11"/>
      <c r="H3" s="11"/>
      <c r="I3" s="11"/>
      <c r="J3" s="77">
        <v>100</v>
      </c>
      <c r="O3" s="4"/>
    </row>
    <row r="4" spans="1:16" s="3" customFormat="1" ht="30" customHeight="1">
      <c r="B4" s="12" t="s">
        <v>5</v>
      </c>
      <c r="C4" s="13" t="s">
        <v>150</v>
      </c>
      <c r="D4" s="10"/>
      <c r="E4" s="10"/>
      <c r="F4" s="14" t="s">
        <v>7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120</v>
      </c>
      <c r="C10" s="37" t="s">
        <v>151</v>
      </c>
      <c r="D10" s="49" t="s">
        <v>152</v>
      </c>
      <c r="E10" s="38"/>
      <c r="F10" s="39">
        <v>20</v>
      </c>
      <c r="G10" s="40"/>
      <c r="H10" s="41"/>
      <c r="I10" s="42"/>
      <c r="J10" s="43">
        <f t="shared" ref="J10" si="0">F10*B10</f>
        <v>2400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2400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E364F-D14E-4E63-8D6F-D93310B59453}">
  <sheetPr codeName="Sheet18">
    <tabColor rgb="FF00B0F0"/>
  </sheetPr>
  <dimension ref="A1:P45"/>
  <sheetViews>
    <sheetView view="pageBreakPreview" zoomScale="80" zoomScaleNormal="100" zoomScaleSheetLayoutView="8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131" t="s">
        <v>89</v>
      </c>
      <c r="M1" s="131"/>
      <c r="N1" s="131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99</v>
      </c>
      <c r="O3" s="4"/>
    </row>
    <row r="4" spans="1:16" s="3" customFormat="1" ht="30" customHeight="1">
      <c r="B4" s="12" t="s">
        <v>5</v>
      </c>
      <c r="C4" s="13" t="s">
        <v>322</v>
      </c>
      <c r="D4" s="10"/>
      <c r="E4" s="10"/>
      <c r="F4" s="14" t="s">
        <v>7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3" customFormat="1" ht="20.100000000000001" customHeight="1">
      <c r="B10" s="36">
        <v>20</v>
      </c>
      <c r="C10" s="37" t="s">
        <v>78</v>
      </c>
      <c r="D10" s="49" t="s">
        <v>265</v>
      </c>
      <c r="E10" s="38"/>
      <c r="F10" s="39">
        <v>65</v>
      </c>
      <c r="G10" s="40"/>
      <c r="H10" s="41"/>
      <c r="I10" s="42"/>
      <c r="J10" s="43">
        <f t="shared" ref="J10" si="0">F10*B10</f>
        <v>1300</v>
      </c>
      <c r="M10" s="5"/>
      <c r="O10" s="4"/>
    </row>
    <row r="11" spans="1:16" s="3" customFormat="1" ht="20.100000000000001" customHeight="1">
      <c r="B11" s="36">
        <v>2</v>
      </c>
      <c r="C11" s="37" t="s">
        <v>47</v>
      </c>
      <c r="D11" s="49" t="s">
        <v>320</v>
      </c>
      <c r="E11" s="38"/>
      <c r="F11" s="39">
        <v>150</v>
      </c>
      <c r="G11" s="40"/>
      <c r="H11" s="41"/>
      <c r="I11" s="42"/>
      <c r="J11" s="43">
        <f t="shared" ref="J11" si="1">F11*B11</f>
        <v>300</v>
      </c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321</v>
      </c>
      <c r="E26" s="141"/>
      <c r="F26" s="144" t="s">
        <v>19</v>
      </c>
      <c r="G26" s="145"/>
      <c r="H26" s="62"/>
      <c r="I26" s="62"/>
      <c r="J26" s="148">
        <f>SUM(J10:J25)</f>
        <v>1600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5">
    <mergeCell ref="J26:J27"/>
    <mergeCell ref="B42:C42"/>
    <mergeCell ref="D22:E22"/>
    <mergeCell ref="D23:E23"/>
    <mergeCell ref="B26:B27"/>
    <mergeCell ref="C26:C27"/>
    <mergeCell ref="D26:E27"/>
    <mergeCell ref="F26:G27"/>
    <mergeCell ref="D9:E9"/>
    <mergeCell ref="F9:H9"/>
    <mergeCell ref="B1:F1"/>
    <mergeCell ref="G1:J1"/>
    <mergeCell ref="L1:N1"/>
    <mergeCell ref="C3:E3"/>
    <mergeCell ref="C5:E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8AF7CD-2FE4-4EF1-8D52-26898FC9DEA5}">
  <sheetPr codeName="Sheet19">
    <tabColor rgb="FFC00000"/>
  </sheetPr>
  <dimension ref="A1:P45"/>
  <sheetViews>
    <sheetView view="pageBreakPreview" zoomScaleNormal="100" zoomScaleSheetLayoutView="100" workbookViewId="0">
      <selection activeCell="N54" sqref="N5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/>
      <c r="D3" s="150"/>
      <c r="E3" s="150"/>
      <c r="F3" s="11" t="s">
        <v>4</v>
      </c>
      <c r="G3" s="11"/>
      <c r="H3" s="11"/>
      <c r="I3" s="11"/>
      <c r="J3" s="77">
        <v>98</v>
      </c>
      <c r="O3" s="4"/>
    </row>
    <row r="4" spans="1:16" s="3" customFormat="1" ht="30" customHeight="1">
      <c r="B4" s="12" t="s">
        <v>5</v>
      </c>
      <c r="C4" s="13" t="s">
        <v>317</v>
      </c>
      <c r="D4" s="10"/>
      <c r="E4" s="10"/>
      <c r="F4" s="14" t="s">
        <v>7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167</v>
      </c>
      <c r="E10" s="157"/>
      <c r="F10" s="39"/>
      <c r="G10" s="40"/>
      <c r="H10" s="41"/>
      <c r="I10" s="42"/>
      <c r="J10" s="43">
        <v>2500</v>
      </c>
      <c r="P10" s="78"/>
    </row>
    <row r="11" spans="1:16" s="3" customFormat="1" ht="20.100000000000001" customHeight="1">
      <c r="B11" s="36"/>
      <c r="C11" s="37"/>
      <c r="D11" s="49" t="s">
        <v>318</v>
      </c>
      <c r="E11" s="38"/>
      <c r="F11" s="39"/>
      <c r="G11" s="40"/>
      <c r="H11" s="41"/>
      <c r="I11" s="42"/>
      <c r="J11" s="43"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319</v>
      </c>
      <c r="E12" s="38"/>
      <c r="F12" s="39"/>
      <c r="G12" s="40"/>
      <c r="H12" s="41"/>
      <c r="I12" s="42"/>
      <c r="J12" s="43">
        <v>2500</v>
      </c>
      <c r="M12" s="5"/>
      <c r="O12" s="4"/>
    </row>
    <row r="13" spans="1:16" s="3" customFormat="1" ht="20.100000000000001" customHeight="1">
      <c r="B13" s="36"/>
      <c r="C13" s="37"/>
      <c r="D13" s="49" t="s">
        <v>324</v>
      </c>
      <c r="E13" s="38"/>
      <c r="F13" s="39"/>
      <c r="G13" s="45"/>
      <c r="H13" s="41"/>
      <c r="I13" s="42"/>
      <c r="J13" s="43">
        <v>2500</v>
      </c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10000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07DE5-4525-44E9-B873-1FE6A0EEAADF}">
  <sheetPr codeName="Sheet20">
    <tabColor rgb="FFC00000"/>
  </sheetPr>
  <dimension ref="A1:P45"/>
  <sheetViews>
    <sheetView view="pageBreakPreview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97</v>
      </c>
      <c r="O3" s="4"/>
    </row>
    <row r="4" spans="1:16" s="3" customFormat="1" ht="30" customHeight="1">
      <c r="B4" s="12" t="s">
        <v>5</v>
      </c>
      <c r="C4" s="13" t="s">
        <v>315</v>
      </c>
      <c r="D4" s="10"/>
      <c r="E4" s="10"/>
      <c r="F4" s="14" t="s">
        <v>7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316</v>
      </c>
      <c r="E10" s="157"/>
      <c r="F10" s="39">
        <v>5940.76</v>
      </c>
      <c r="G10" s="40"/>
      <c r="H10" s="41"/>
      <c r="I10" s="42"/>
      <c r="J10" s="43">
        <f>F10</f>
        <v>5940.76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5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5940.76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D9:E9"/>
    <mergeCell ref="F9:H9"/>
    <mergeCell ref="D10:E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C205E4-A087-40E8-B946-A11FC9AFB089}">
  <sheetPr>
    <tabColor rgb="FF7030A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132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45448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366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49" t="s">
        <v>108</v>
      </c>
      <c r="E10" s="38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79" t="s">
        <v>403</v>
      </c>
      <c r="E11" s="38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J26:J27"/>
    <mergeCell ref="B42:C42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7636A-642F-4EA1-95AF-3FFCD6FA2817}">
  <sheetPr codeName="Sheet21">
    <tabColor rgb="FFC00000"/>
  </sheetPr>
  <dimension ref="A1:P45"/>
  <sheetViews>
    <sheetView view="pageBreakPreview" topLeftCell="A2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96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1" t="s">
        <v>101</v>
      </c>
      <c r="E10" s="152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311</v>
      </c>
      <c r="E11" s="90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313</v>
      </c>
      <c r="E12" s="38"/>
      <c r="F12" s="39">
        <v>1000</v>
      </c>
      <c r="G12" s="40"/>
      <c r="H12" s="41"/>
      <c r="I12" s="42"/>
      <c r="J12" s="91">
        <f>F12</f>
        <v>1000</v>
      </c>
      <c r="M12" s="5"/>
      <c r="O12" s="4"/>
    </row>
    <row r="13" spans="1:16" s="3" customFormat="1" ht="20.100000000000001" customHeight="1">
      <c r="B13" s="36"/>
      <c r="C13" s="37"/>
      <c r="D13" s="49" t="s">
        <v>102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44" t="s">
        <v>103</v>
      </c>
      <c r="E14" s="90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 t="s">
        <v>104</v>
      </c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3"/>
      <c r="M17" s="153"/>
      <c r="N17" s="153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3"/>
      <c r="M18" s="153"/>
      <c r="N18" s="153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3"/>
      <c r="M19" s="153"/>
      <c r="N19" s="153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314</v>
      </c>
      <c r="E26" s="141"/>
      <c r="F26" s="144" t="s">
        <v>19</v>
      </c>
      <c r="G26" s="145"/>
      <c r="H26" s="62"/>
      <c r="I26" s="62"/>
      <c r="J26" s="148">
        <f>SUM(J10:J25)</f>
        <v>3500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B42:C42"/>
    <mergeCell ref="D10:E10"/>
    <mergeCell ref="L17:N1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8D2B01-5BB5-4429-9F45-14B13EE01808}">
  <sheetPr codeName="Sheet22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95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45398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108</v>
      </c>
      <c r="E10" s="157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165" t="s">
        <v>312</v>
      </c>
      <c r="E11" s="157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056239-2FDE-4C52-9666-120740C8EBAA}">
  <sheetPr codeName="Sheet23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94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45398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35">
        <f>36080-14667.86-1600</f>
        <v>19812.14</v>
      </c>
      <c r="P9" s="35"/>
    </row>
    <row r="10" spans="1:16" s="24" customFormat="1" ht="20.100000000000001" customHeight="1">
      <c r="B10" s="36"/>
      <c r="C10" s="37"/>
      <c r="D10" s="156" t="s">
        <v>113</v>
      </c>
      <c r="E10" s="157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311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8"/>
      <c r="E26" s="159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60"/>
      <c r="E27" s="161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5" t="s">
        <v>31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J26:J27"/>
    <mergeCell ref="C34:D34"/>
    <mergeCell ref="B1:F1"/>
    <mergeCell ref="G1:J1"/>
    <mergeCell ref="C3:E3"/>
    <mergeCell ref="D9:E9"/>
    <mergeCell ref="F9:H9"/>
    <mergeCell ref="D10:E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BEC171-2C85-4167-B393-3CB6D34C1991}">
  <sheetPr codeName="Sheet24">
    <tabColor rgb="FFC00000"/>
  </sheetPr>
  <dimension ref="A1:P45"/>
  <sheetViews>
    <sheetView showWhiteSpace="0" view="pageBreakPreview" zoomScale="80" zoomScaleNormal="100" zoomScaleSheetLayoutView="80" workbookViewId="0">
      <selection activeCell="D12" sqref="D12:E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309</v>
      </c>
      <c r="D3" s="154"/>
      <c r="E3" s="154"/>
      <c r="F3" s="11" t="s">
        <v>4</v>
      </c>
      <c r="G3" s="11"/>
      <c r="H3" s="11"/>
      <c r="I3" s="11"/>
      <c r="J3" s="77">
        <v>93</v>
      </c>
      <c r="K3" s="105"/>
      <c r="L3" s="105"/>
      <c r="N3" s="3" t="s">
        <v>59</v>
      </c>
      <c r="O3" s="4"/>
    </row>
    <row r="4" spans="1:16" s="3" customFormat="1" ht="30" customHeight="1">
      <c r="B4" s="12" t="s">
        <v>5</v>
      </c>
      <c r="C4" s="13" t="s">
        <v>310</v>
      </c>
      <c r="D4" s="10"/>
      <c r="E4" s="10"/>
      <c r="F4" s="14" t="s">
        <v>7</v>
      </c>
      <c r="G4" s="15"/>
      <c r="H4" s="15"/>
      <c r="I4" s="15"/>
      <c r="J4" s="16">
        <v>45392</v>
      </c>
      <c r="L4" s="17"/>
      <c r="N4" s="3" t="s">
        <v>60</v>
      </c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29">
        <f>1400/4</f>
        <v>350</v>
      </c>
      <c r="P9" s="35"/>
    </row>
    <row r="10" spans="1:16" s="24" customFormat="1" ht="20.100000000000001" customHeight="1">
      <c r="B10" s="36"/>
      <c r="C10" s="37"/>
      <c r="D10" s="156" t="s">
        <v>276</v>
      </c>
      <c r="E10" s="157"/>
      <c r="F10" s="39">
        <v>300</v>
      </c>
      <c r="G10" s="40"/>
      <c r="H10" s="41"/>
      <c r="I10" s="42"/>
      <c r="J10" s="43">
        <f>F10</f>
        <v>300</v>
      </c>
      <c r="P10" s="78"/>
    </row>
    <row r="11" spans="1:16" s="3" customFormat="1" ht="20.100000000000001" customHeight="1">
      <c r="B11" s="36"/>
      <c r="C11" s="37"/>
      <c r="D11" s="156"/>
      <c r="E11" s="157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56"/>
      <c r="E12" s="15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3" t="s">
        <v>134</v>
      </c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300</v>
      </c>
      <c r="M26" s="63"/>
      <c r="O26" s="4"/>
    </row>
    <row r="27" spans="2:15" s="3" customFormat="1" ht="24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5" t="s">
        <v>31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F26:G27"/>
    <mergeCell ref="J26:J27"/>
    <mergeCell ref="C34:D34"/>
    <mergeCell ref="B42:C42"/>
    <mergeCell ref="D10:E10"/>
    <mergeCell ref="D11:E11"/>
    <mergeCell ref="D12:E12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 xml:space="preserve">&amp;L&amp;"-,Bold"&amp;9        F-PUR-003
        DVO Rev. 5-D 1/21/2024
</oddFooter>
  </headerFooter>
  <colBreaks count="1" manualBreakCount="1">
    <brk id="10" max="38" man="1"/>
  </colBrea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7FFF9-F0C9-4F88-892E-9D2C3DF4F642}">
  <sheetPr codeName="Sheet25">
    <tabColor rgb="FFC00000"/>
  </sheetPr>
  <dimension ref="A1:P45"/>
  <sheetViews>
    <sheetView view="pageBreakPreview" topLeftCell="B16" zoomScaleNormal="100" zoomScaleSheetLayoutView="100" workbookViewId="0">
      <selection activeCell="D33" sqref="D3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119</v>
      </c>
      <c r="D3" s="150"/>
      <c r="E3" s="150"/>
      <c r="F3" s="11" t="s">
        <v>4</v>
      </c>
      <c r="G3" s="11"/>
      <c r="H3" s="11"/>
      <c r="I3" s="11"/>
      <c r="J3" s="77">
        <v>92</v>
      </c>
      <c r="O3" s="4"/>
    </row>
    <row r="4" spans="1:16" s="3" customFormat="1" ht="30" customHeight="1">
      <c r="B4" s="12" t="s">
        <v>5</v>
      </c>
      <c r="C4" s="119" t="s">
        <v>308</v>
      </c>
      <c r="D4" s="10"/>
      <c r="E4" s="10"/>
      <c r="F4" s="14" t="s">
        <v>7</v>
      </c>
      <c r="G4" s="15"/>
      <c r="H4" s="15"/>
      <c r="I4" s="15"/>
      <c r="J4" s="16">
        <v>45392</v>
      </c>
      <c r="L4" s="17"/>
      <c r="N4" s="3">
        <f>135*2</f>
        <v>270</v>
      </c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277</v>
      </c>
      <c r="E10" s="157"/>
      <c r="F10" s="39">
        <v>1567.04</v>
      </c>
      <c r="G10" s="40"/>
      <c r="H10" s="41"/>
      <c r="I10" s="42"/>
      <c r="J10" s="43">
        <f>F10</f>
        <v>1567.04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  <c r="P12" s="104">
        <f>1205-F10</f>
        <v>-362.03999999999996</v>
      </c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>
        <f>5500-4306.5</f>
        <v>1193.5</v>
      </c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1567.04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035A35-59F8-4464-A073-6A271077D0A6}">
  <sheetPr codeName="Sheet26">
    <tabColor rgb="FFC00000"/>
  </sheetPr>
  <dimension ref="A1:P45"/>
  <sheetViews>
    <sheetView view="pageBreakPreview" zoomScale="70" zoomScaleNormal="100" zoomScaleSheetLayoutView="7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91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306</v>
      </c>
      <c r="D4" s="10"/>
      <c r="E4" s="10"/>
      <c r="F4" s="14" t="s">
        <v>7</v>
      </c>
      <c r="G4" s="15"/>
      <c r="H4" s="15"/>
      <c r="I4" s="15"/>
      <c r="J4" s="16">
        <v>45392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307</v>
      </c>
      <c r="E10" s="157"/>
      <c r="F10" s="39"/>
      <c r="G10" s="40"/>
      <c r="H10" s="41"/>
      <c r="I10" s="42"/>
      <c r="J10" s="43">
        <v>1395.2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57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1445.2</v>
      </c>
      <c r="L26" s="99">
        <f>J26-1500</f>
        <v>-54.799999999999955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64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8BB3A-1540-49D4-878B-41A4072B9AB6}">
  <sheetPr codeName="Sheet27">
    <tabColor rgb="FF00B0F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197</v>
      </c>
      <c r="D3" s="131"/>
      <c r="E3" s="131"/>
      <c r="F3" s="11" t="s">
        <v>4</v>
      </c>
      <c r="G3" s="11"/>
      <c r="H3" s="11"/>
      <c r="I3" s="11"/>
      <c r="J3" s="77">
        <v>82</v>
      </c>
      <c r="O3" s="4"/>
    </row>
    <row r="4" spans="1:16" s="3" customFormat="1" ht="30" customHeight="1">
      <c r="B4" s="12" t="s">
        <v>5</v>
      </c>
      <c r="C4" s="13" t="s">
        <v>229</v>
      </c>
      <c r="D4" s="10"/>
      <c r="E4" s="10"/>
      <c r="F4" s="14" t="s">
        <v>7</v>
      </c>
      <c r="G4" s="15"/>
      <c r="H4" s="15"/>
      <c r="I4" s="15"/>
      <c r="J4" s="16">
        <v>45383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</v>
      </c>
      <c r="C10" s="37" t="s">
        <v>191</v>
      </c>
      <c r="D10" s="49" t="s">
        <v>192</v>
      </c>
      <c r="E10" s="38"/>
      <c r="F10" s="39">
        <v>210</v>
      </c>
      <c r="G10" s="40"/>
      <c r="H10" s="41"/>
      <c r="I10" s="42"/>
      <c r="J10" s="43">
        <f t="shared" ref="J10:J18" si="0">F10*B10</f>
        <v>420</v>
      </c>
      <c r="L10" s="23"/>
      <c r="M10" s="5"/>
      <c r="N10" s="5"/>
      <c r="P10" s="4"/>
    </row>
    <row r="11" spans="1:16" s="3" customFormat="1" ht="20.100000000000001" customHeight="1">
      <c r="B11" s="36">
        <v>1</v>
      </c>
      <c r="C11" s="37" t="s">
        <v>178</v>
      </c>
      <c r="D11" s="49" t="s">
        <v>227</v>
      </c>
      <c r="E11" s="38"/>
      <c r="F11" s="39">
        <v>66</v>
      </c>
      <c r="G11" s="45"/>
      <c r="H11" s="41"/>
      <c r="I11" s="42"/>
      <c r="J11" s="43">
        <f t="shared" si="0"/>
        <v>66</v>
      </c>
      <c r="L11" s="23"/>
      <c r="M11" s="5"/>
      <c r="O11" s="102"/>
      <c r="P11" s="81"/>
    </row>
    <row r="12" spans="1:16" s="3" customFormat="1" ht="20.100000000000001" customHeight="1">
      <c r="B12" s="36">
        <v>1</v>
      </c>
      <c r="C12" s="37" t="s">
        <v>296</v>
      </c>
      <c r="D12" s="49" t="s">
        <v>297</v>
      </c>
      <c r="E12" s="47"/>
      <c r="F12" s="39">
        <v>43</v>
      </c>
      <c r="G12" s="45"/>
      <c r="H12" s="41"/>
      <c r="I12" s="42"/>
      <c r="J12" s="43">
        <f t="shared" si="0"/>
        <v>43</v>
      </c>
      <c r="L12" s="23"/>
      <c r="M12" s="5"/>
      <c r="N12" s="4"/>
      <c r="O12" s="4"/>
    </row>
    <row r="13" spans="1:16" s="3" customFormat="1" ht="20.100000000000001" customHeight="1">
      <c r="B13" s="36">
        <v>5</v>
      </c>
      <c r="C13" s="37" t="s">
        <v>47</v>
      </c>
      <c r="D13" s="49" t="s">
        <v>298</v>
      </c>
      <c r="E13" s="50"/>
      <c r="F13" s="39">
        <v>21</v>
      </c>
      <c r="G13" s="45"/>
      <c r="H13" s="41"/>
      <c r="I13" s="42"/>
      <c r="J13" s="43">
        <f t="shared" si="0"/>
        <v>105</v>
      </c>
      <c r="L13" s="82"/>
      <c r="M13" s="5"/>
      <c r="O13" s="4"/>
    </row>
    <row r="14" spans="1:16" s="3" customFormat="1" ht="20.100000000000001" customHeight="1">
      <c r="B14" s="36">
        <v>10</v>
      </c>
      <c r="C14" s="37" t="s">
        <v>47</v>
      </c>
      <c r="D14" s="49" t="s">
        <v>194</v>
      </c>
      <c r="E14" s="38"/>
      <c r="F14" s="39">
        <v>6</v>
      </c>
      <c r="G14" s="45"/>
      <c r="H14" s="41"/>
      <c r="I14" s="42"/>
      <c r="J14" s="43">
        <f t="shared" si="0"/>
        <v>60</v>
      </c>
      <c r="L14" s="23"/>
      <c r="M14" s="5"/>
      <c r="N14" s="4"/>
      <c r="O14" s="4"/>
    </row>
    <row r="15" spans="1:16" s="3" customFormat="1" ht="20.100000000000001" customHeight="1">
      <c r="B15" s="36">
        <v>1</v>
      </c>
      <c r="C15" s="37" t="s">
        <v>296</v>
      </c>
      <c r="D15" s="49" t="s">
        <v>299</v>
      </c>
      <c r="E15" s="52"/>
      <c r="F15" s="39">
        <v>22</v>
      </c>
      <c r="G15" s="45"/>
      <c r="H15" s="41"/>
      <c r="I15" s="42"/>
      <c r="J15" s="43">
        <f t="shared" si="0"/>
        <v>22</v>
      </c>
      <c r="L15" s="23"/>
      <c r="M15" s="5"/>
      <c r="O15" s="4"/>
    </row>
    <row r="16" spans="1:16" s="3" customFormat="1" ht="20.100000000000001" customHeight="1">
      <c r="B16" s="36">
        <v>1</v>
      </c>
      <c r="C16" s="37" t="s">
        <v>296</v>
      </c>
      <c r="D16" s="49" t="s">
        <v>300</v>
      </c>
      <c r="E16" s="53"/>
      <c r="F16" s="56">
        <v>78</v>
      </c>
      <c r="G16" s="45"/>
      <c r="H16" s="41"/>
      <c r="I16" s="42"/>
      <c r="J16" s="43">
        <f t="shared" si="0"/>
        <v>78</v>
      </c>
      <c r="M16" s="5"/>
      <c r="N16" s="55"/>
      <c r="O16" s="4"/>
    </row>
    <row r="17" spans="2:16" s="3" customFormat="1" ht="20.100000000000001" customHeight="1">
      <c r="B17" s="36">
        <v>2</v>
      </c>
      <c r="C17" s="37" t="s">
        <v>47</v>
      </c>
      <c r="D17" s="49" t="s">
        <v>303</v>
      </c>
      <c r="E17" s="50"/>
      <c r="F17" s="56">
        <v>330</v>
      </c>
      <c r="G17" s="45"/>
      <c r="H17" s="41"/>
      <c r="I17" s="42"/>
      <c r="J17" s="43">
        <f t="shared" si="0"/>
        <v>660</v>
      </c>
      <c r="M17" s="5"/>
      <c r="N17" s="55"/>
      <c r="O17" s="4"/>
    </row>
    <row r="18" spans="2:16" s="3" customFormat="1" ht="20.100000000000001" customHeight="1">
      <c r="B18" s="36">
        <v>1</v>
      </c>
      <c r="C18" s="37" t="s">
        <v>301</v>
      </c>
      <c r="D18" s="49" t="s">
        <v>302</v>
      </c>
      <c r="E18" s="50"/>
      <c r="F18" s="56">
        <v>330</v>
      </c>
      <c r="G18" s="45"/>
      <c r="H18" s="41"/>
      <c r="I18" s="42"/>
      <c r="J18" s="43">
        <f t="shared" si="0"/>
        <v>330</v>
      </c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1784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17A4DB-D352-42BF-A3F0-A018DCEA643E}">
  <sheetPr codeName="Sheet28">
    <tabColor rgb="FFC00000"/>
  </sheetPr>
  <dimension ref="A1:P45"/>
  <sheetViews>
    <sheetView view="pageBreakPreview" zoomScale="70" zoomScaleNormal="100" zoomScaleSheetLayoutView="70" workbookViewId="0">
      <selection activeCell="D13" sqref="D13: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119</v>
      </c>
      <c r="D3" s="150"/>
      <c r="E3" s="150"/>
      <c r="F3" s="11" t="s">
        <v>4</v>
      </c>
      <c r="G3" s="11"/>
      <c r="H3" s="11"/>
      <c r="I3" s="11"/>
      <c r="J3" s="77">
        <v>81</v>
      </c>
      <c r="O3" s="4"/>
    </row>
    <row r="4" spans="1:16" s="3" customFormat="1" ht="30" customHeight="1">
      <c r="B4" s="12" t="s">
        <v>5</v>
      </c>
      <c r="C4" s="13" t="s">
        <v>304</v>
      </c>
      <c r="D4" s="10"/>
      <c r="E4" s="10"/>
      <c r="F4" s="14" t="s">
        <v>7</v>
      </c>
      <c r="G4" s="15"/>
      <c r="H4" s="15"/>
      <c r="I4" s="15"/>
      <c r="J4" s="16">
        <v>45377</v>
      </c>
      <c r="L4" s="17"/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295</v>
      </c>
      <c r="E10" s="157"/>
      <c r="F10" s="39">
        <f>2307.96-400</f>
        <v>1907.96</v>
      </c>
      <c r="G10" s="40"/>
      <c r="H10" s="41"/>
      <c r="I10" s="42"/>
      <c r="J10" s="43">
        <f>F10</f>
        <v>1907.96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56" t="s">
        <v>176</v>
      </c>
      <c r="E12" s="15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56" t="s">
        <v>177</v>
      </c>
      <c r="E13" s="157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156" t="s">
        <v>131</v>
      </c>
      <c r="E14" s="157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56" t="s">
        <v>132</v>
      </c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1907.96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D12:E12"/>
    <mergeCell ref="D13:E13"/>
    <mergeCell ref="D14:E14"/>
    <mergeCell ref="D15:E15"/>
    <mergeCell ref="D22:E22"/>
    <mergeCell ref="B42:C4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99730-6A63-48CB-8365-4AD8F306FED3}">
  <sheetPr codeName="Sheet29">
    <tabColor rgb="FFC00000"/>
  </sheetPr>
  <dimension ref="A1:Q45"/>
  <sheetViews>
    <sheetView view="pageBreakPreview" zoomScale="70" zoomScaleNormal="100" zoomScaleSheetLayoutView="7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/>
    <row r="3" spans="1:17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80</v>
      </c>
      <c r="O3" s="4"/>
    </row>
    <row r="4" spans="1:17" s="3" customFormat="1" ht="30" customHeight="1">
      <c r="B4" s="12" t="s">
        <v>5</v>
      </c>
      <c r="C4" s="13" t="s">
        <v>294</v>
      </c>
      <c r="D4" s="10"/>
      <c r="E4" s="10"/>
      <c r="F4" s="14" t="s">
        <v>7</v>
      </c>
      <c r="G4" s="15"/>
      <c r="H4" s="15"/>
      <c r="I4" s="15"/>
      <c r="J4" s="16">
        <v>45377</v>
      </c>
      <c r="L4" s="17"/>
      <c r="N4" s="3">
        <f>960/64</f>
        <v>15</v>
      </c>
      <c r="P4" s="4"/>
    </row>
    <row r="5" spans="1:17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N5" s="3">
        <f>74*15</f>
        <v>1110</v>
      </c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3" t="s">
        <v>125</v>
      </c>
      <c r="N6" s="3">
        <f>N5-200</f>
        <v>910</v>
      </c>
      <c r="P6" s="4"/>
    </row>
    <row r="7" spans="1:17" s="3" customFormat="1" ht="13.5" customHeight="1" thickBot="1">
      <c r="B7" s="23"/>
      <c r="C7" s="24"/>
      <c r="D7" s="24"/>
      <c r="G7" s="25"/>
      <c r="J7" s="26"/>
      <c r="L7" s="3" t="s">
        <v>126</v>
      </c>
      <c r="P7" s="4"/>
      <c r="Q7" s="3">
        <f>1140-200</f>
        <v>940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127</v>
      </c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7" s="24" customFormat="1" ht="20.100000000000001" customHeight="1">
      <c r="B10" s="36"/>
      <c r="C10" s="37"/>
      <c r="D10" s="156" t="s">
        <v>293</v>
      </c>
      <c r="E10" s="157"/>
      <c r="F10" s="39">
        <f>1170-200</f>
        <v>970</v>
      </c>
      <c r="G10" s="45"/>
      <c r="H10" s="41"/>
      <c r="I10" s="42"/>
      <c r="J10" s="43">
        <f>F10</f>
        <v>970</v>
      </c>
      <c r="L10" s="24" t="s">
        <v>128</v>
      </c>
      <c r="P10" s="78"/>
    </row>
    <row r="11" spans="1:17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7" s="3" customFormat="1" ht="20.100000000000001" customHeight="1">
      <c r="B12" s="36"/>
      <c r="C12" s="37"/>
      <c r="D12" s="49" t="s">
        <v>131</v>
      </c>
      <c r="E12" s="38"/>
      <c r="F12" s="39"/>
      <c r="G12" s="40"/>
      <c r="H12" s="41"/>
      <c r="I12" s="42"/>
      <c r="J12" s="43"/>
      <c r="M12" s="5"/>
      <c r="O12" s="4"/>
    </row>
    <row r="13" spans="1:17" s="3" customFormat="1" ht="20.100000000000001" customHeight="1">
      <c r="B13" s="36"/>
      <c r="C13" s="37"/>
      <c r="D13" s="49" t="s">
        <v>132</v>
      </c>
      <c r="E13" s="38"/>
      <c r="F13" s="39"/>
      <c r="G13" s="45"/>
      <c r="H13" s="41"/>
      <c r="I13" s="42"/>
      <c r="J13" s="43"/>
      <c r="L13" s="3" t="s">
        <v>133</v>
      </c>
      <c r="M13" s="5"/>
      <c r="O13" s="4"/>
      <c r="P13" s="81"/>
    </row>
    <row r="14" spans="1:17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3" t="s">
        <v>129</v>
      </c>
      <c r="M14" s="5"/>
      <c r="O14" s="4"/>
    </row>
    <row r="15" spans="1:17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L15" s="3" t="s">
        <v>131</v>
      </c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>
        <f>910-1110</f>
        <v>-200</v>
      </c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L18" s="3" t="s">
        <v>134</v>
      </c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970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5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5">
      <c r="B34" s="7"/>
      <c r="C34" s="155" t="s">
        <v>281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5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5">
      <c r="B36" s="7"/>
      <c r="C36" s="68"/>
      <c r="D36" s="68"/>
      <c r="E36" s="67"/>
      <c r="F36" s="67"/>
      <c r="G36" s="67"/>
      <c r="H36" s="67"/>
      <c r="I36" s="67"/>
      <c r="J36" s="67"/>
    </row>
    <row r="37" spans="2:15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5">
      <c r="B38" s="7"/>
      <c r="C38" s="68"/>
      <c r="D38" s="68"/>
      <c r="E38" s="67"/>
      <c r="F38" s="67"/>
      <c r="G38" s="67"/>
      <c r="H38" s="67"/>
      <c r="I38" s="67"/>
      <c r="J38" s="67"/>
    </row>
    <row r="39" spans="2:15">
      <c r="C39" s="68"/>
      <c r="D39" s="68"/>
      <c r="E39" s="67"/>
      <c r="F39" s="67"/>
      <c r="G39" s="67"/>
      <c r="H39" s="67"/>
      <c r="I39" s="67"/>
      <c r="J39" s="67"/>
    </row>
    <row r="40" spans="2:15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5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5">
      <c r="B42" s="125"/>
      <c r="C42" s="125"/>
      <c r="E42" s="7"/>
      <c r="F42" s="7"/>
    </row>
    <row r="43" spans="2:15">
      <c r="O43" s="8">
        <f>118+88</f>
        <v>206</v>
      </c>
    </row>
    <row r="45" spans="2:15" ht="15">
      <c r="M45" s="75"/>
    </row>
  </sheetData>
  <mergeCells count="17">
    <mergeCell ref="B1:F1"/>
    <mergeCell ref="G1:J1"/>
    <mergeCell ref="C3:E3"/>
    <mergeCell ref="C5:E5"/>
    <mergeCell ref="D9:E9"/>
    <mergeCell ref="F9:H9"/>
    <mergeCell ref="F26:G27"/>
    <mergeCell ref="J26:J27"/>
    <mergeCell ref="C34:D34"/>
    <mergeCell ref="B42:C42"/>
    <mergeCell ref="D10:E10"/>
    <mergeCell ref="D15:E15"/>
    <mergeCell ref="D22:E2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E305F-4BE8-4149-A960-52F873A86106}">
  <sheetPr codeName="Sheet30">
    <tabColor rgb="FFC00000"/>
  </sheetPr>
  <dimension ref="A1:P45"/>
  <sheetViews>
    <sheetView view="pageBreakPreview" zoomScaleNormal="100" zoomScaleSheetLayoutView="10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292</v>
      </c>
      <c r="D3" s="150"/>
      <c r="E3" s="150"/>
      <c r="F3" s="11" t="s">
        <v>4</v>
      </c>
      <c r="G3" s="11"/>
      <c r="H3" s="11"/>
      <c r="I3" s="11"/>
      <c r="J3" s="77">
        <v>79</v>
      </c>
      <c r="O3" s="4"/>
    </row>
    <row r="4" spans="1:16" s="3" customFormat="1" ht="30" customHeight="1">
      <c r="B4" s="12" t="s">
        <v>5</v>
      </c>
      <c r="C4" s="13" t="s">
        <v>288</v>
      </c>
      <c r="D4" s="10"/>
      <c r="E4" s="10"/>
      <c r="F4" s="14" t="s">
        <v>7</v>
      </c>
      <c r="G4" s="15"/>
      <c r="H4" s="15"/>
      <c r="I4" s="15"/>
      <c r="J4" s="16">
        <v>45373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M7" s="3">
        <f>420+650</f>
        <v>1070</v>
      </c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1" t="s">
        <v>290</v>
      </c>
      <c r="E10" s="152"/>
      <c r="F10" s="39">
        <v>10000</v>
      </c>
      <c r="G10" s="40"/>
      <c r="H10" s="41"/>
      <c r="I10" s="42"/>
      <c r="J10" s="43">
        <v>10000</v>
      </c>
      <c r="P10" s="78"/>
    </row>
    <row r="11" spans="1:16" s="3" customFormat="1" ht="20.100000000000001" customHeight="1">
      <c r="B11" s="36"/>
      <c r="C11" s="37"/>
      <c r="D11" s="44" t="s">
        <v>291</v>
      </c>
      <c r="E11" s="90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151"/>
      <c r="E12" s="152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1"/>
      <c r="E13" s="152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3"/>
      <c r="M17" s="153"/>
      <c r="N17" s="153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3"/>
      <c r="M18" s="153"/>
      <c r="N18" s="153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3"/>
      <c r="M19" s="153"/>
      <c r="N19" s="153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289</v>
      </c>
      <c r="E26" s="141"/>
      <c r="F26" s="144" t="s">
        <v>19</v>
      </c>
      <c r="G26" s="145"/>
      <c r="H26" s="62"/>
      <c r="I26" s="62"/>
      <c r="J26" s="148">
        <f>SUM(J10:J25)</f>
        <v>10000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D6718-28A5-4A34-9A9B-FDA63F7D20A3}">
  <sheetPr>
    <tabColor rgb="FFC0000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131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45448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35">
        <f>36080-14667.86-1600</f>
        <v>19812.14</v>
      </c>
      <c r="P9" s="35"/>
    </row>
    <row r="10" spans="1:16" s="24" customFormat="1" ht="20.100000000000001" customHeight="1">
      <c r="B10" s="36"/>
      <c r="C10" s="37"/>
      <c r="D10" s="156" t="s">
        <v>113</v>
      </c>
      <c r="E10" s="157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402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8"/>
      <c r="E26" s="159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60"/>
      <c r="E27" s="161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5" t="s">
        <v>31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B42:C42"/>
    <mergeCell ref="B26:B27"/>
    <mergeCell ref="C26:C27"/>
    <mergeCell ref="D26:E27"/>
    <mergeCell ref="F26:G27"/>
    <mergeCell ref="J26:J27"/>
    <mergeCell ref="C34:D34"/>
    <mergeCell ref="B1:F1"/>
    <mergeCell ref="G1:J1"/>
    <mergeCell ref="C3:E3"/>
    <mergeCell ref="D9:E9"/>
    <mergeCell ref="F9:H9"/>
    <mergeCell ref="D10:E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1E78F5-19E1-4B5E-A192-95ED13F85414}">
  <sheetPr codeName="Sheet31">
    <tabColor rgb="FFC00000"/>
  </sheetPr>
  <dimension ref="A1:P45"/>
  <sheetViews>
    <sheetView showWhiteSpace="0" view="pageBreakPreview" zoomScale="80" zoomScaleNormal="100" zoomScaleSheetLayoutView="80" workbookViewId="0">
      <selection activeCell="L16" sqref="L1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283</v>
      </c>
      <c r="D3" s="154"/>
      <c r="E3" s="154"/>
      <c r="F3" s="11" t="s">
        <v>4</v>
      </c>
      <c r="G3" s="11"/>
      <c r="H3" s="11"/>
      <c r="I3" s="11"/>
      <c r="J3" s="77">
        <v>67</v>
      </c>
      <c r="K3" s="105"/>
      <c r="L3" s="105"/>
      <c r="N3" s="3" t="s">
        <v>59</v>
      </c>
      <c r="O3" s="4"/>
    </row>
    <row r="4" spans="1:16" s="3" customFormat="1" ht="30" customHeight="1">
      <c r="B4" s="12" t="s">
        <v>5</v>
      </c>
      <c r="C4" s="13" t="s">
        <v>287</v>
      </c>
      <c r="D4" s="10"/>
      <c r="E4" s="10"/>
      <c r="F4" s="14" t="s">
        <v>7</v>
      </c>
      <c r="G4" s="15"/>
      <c r="H4" s="15"/>
      <c r="I4" s="15"/>
      <c r="J4" s="16">
        <v>45369</v>
      </c>
      <c r="L4" s="17"/>
      <c r="N4" s="3" t="s">
        <v>60</v>
      </c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29">
        <f>1400/4</f>
        <v>350</v>
      </c>
      <c r="P9" s="35"/>
    </row>
    <row r="10" spans="1:16" s="24" customFormat="1" ht="20.100000000000001" customHeight="1">
      <c r="B10" s="36"/>
      <c r="C10" s="37"/>
      <c r="D10" s="156" t="s">
        <v>286</v>
      </c>
      <c r="E10" s="157"/>
      <c r="F10" s="39">
        <v>300</v>
      </c>
      <c r="G10" s="40"/>
      <c r="H10" s="41"/>
      <c r="I10" s="42"/>
      <c r="J10" s="43">
        <f>F10</f>
        <v>300</v>
      </c>
      <c r="P10" s="78"/>
    </row>
    <row r="11" spans="1:16" s="3" customFormat="1" ht="20.100000000000001" customHeight="1">
      <c r="B11" s="36"/>
      <c r="C11" s="37"/>
      <c r="D11" s="156" t="s">
        <v>67</v>
      </c>
      <c r="E11" s="157"/>
      <c r="F11" s="39">
        <v>300</v>
      </c>
      <c r="G11" s="40"/>
      <c r="H11" s="41"/>
      <c r="I11" s="42"/>
      <c r="J11" s="43">
        <f t="shared" ref="J11:J12" si="0">F11</f>
        <v>300</v>
      </c>
      <c r="M11" s="5"/>
      <c r="N11" s="5"/>
      <c r="P11" s="4"/>
    </row>
    <row r="12" spans="1:16" s="3" customFormat="1" ht="20.100000000000001" customHeight="1">
      <c r="B12" s="36"/>
      <c r="C12" s="37"/>
      <c r="D12" s="156" t="s">
        <v>211</v>
      </c>
      <c r="E12" s="157"/>
      <c r="F12" s="39">
        <v>300</v>
      </c>
      <c r="G12" s="40"/>
      <c r="H12" s="41"/>
      <c r="I12" s="42"/>
      <c r="J12" s="43">
        <f t="shared" si="0"/>
        <v>300</v>
      </c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84"/>
      <c r="G13" s="45"/>
      <c r="H13" s="41"/>
      <c r="I13" s="42"/>
      <c r="J13" s="92"/>
      <c r="L13" s="3" t="s">
        <v>284</v>
      </c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L15" s="3" t="s">
        <v>285</v>
      </c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L16" s="3" t="s">
        <v>283</v>
      </c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3" t="s">
        <v>134</v>
      </c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900</v>
      </c>
      <c r="M26" s="63"/>
      <c r="O26" s="4"/>
    </row>
    <row r="27" spans="2:15" s="3" customFormat="1" ht="24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5" t="s">
        <v>136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J26:J27"/>
    <mergeCell ref="B42:C42"/>
    <mergeCell ref="D12:E12"/>
    <mergeCell ref="C34:D34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 xml:space="preserve">&amp;L&amp;"-,Bold"&amp;9        F-PUR-003
        DVO Rev. 5-D 1/21/2024
</oddFooter>
  </headerFooter>
  <colBreaks count="1" manualBreakCount="1">
    <brk id="10" max="38" man="1"/>
  </colBreaks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B5DC65-2EFE-4D77-810E-8C57493618D5}">
  <sheetPr codeName="Sheet32">
    <tabColor rgb="FFC00000"/>
  </sheetPr>
  <dimension ref="A1:P45"/>
  <sheetViews>
    <sheetView view="pageBreakPreview" zoomScale="70" zoomScaleNormal="100" zoomScaleSheetLayoutView="70" workbookViewId="0">
      <selection activeCell="D10" sqref="D10:E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119</v>
      </c>
      <c r="D3" s="150"/>
      <c r="E3" s="150"/>
      <c r="F3" s="11" t="s">
        <v>4</v>
      </c>
      <c r="G3" s="11"/>
      <c r="H3" s="11"/>
      <c r="I3" s="11"/>
      <c r="J3" s="77">
        <v>66</v>
      </c>
      <c r="O3" s="4"/>
    </row>
    <row r="4" spans="1:16" s="3" customFormat="1" ht="30" customHeight="1">
      <c r="B4" s="12" t="s">
        <v>5</v>
      </c>
      <c r="C4" s="13" t="s">
        <v>174</v>
      </c>
      <c r="D4" s="10"/>
      <c r="E4" s="10"/>
      <c r="F4" s="14" t="s">
        <v>7</v>
      </c>
      <c r="G4" s="15"/>
      <c r="H4" s="15"/>
      <c r="I4" s="15"/>
      <c r="J4" s="16">
        <v>45369</v>
      </c>
      <c r="L4" s="17"/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282</v>
      </c>
      <c r="E10" s="157"/>
      <c r="F10" s="39">
        <f>1772.17-400</f>
        <v>1372.17</v>
      </c>
      <c r="G10" s="40"/>
      <c r="H10" s="41"/>
      <c r="I10" s="42"/>
      <c r="J10" s="43">
        <f>F10</f>
        <v>1372.17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56" t="s">
        <v>176</v>
      </c>
      <c r="E12" s="15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56" t="s">
        <v>177</v>
      </c>
      <c r="E13" s="157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156" t="s">
        <v>131</v>
      </c>
      <c r="E14" s="157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56" t="s">
        <v>132</v>
      </c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1372.17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9">
    <mergeCell ref="B42:C42"/>
    <mergeCell ref="D23:E23"/>
    <mergeCell ref="B26:B27"/>
    <mergeCell ref="C26:C27"/>
    <mergeCell ref="D26:E27"/>
    <mergeCell ref="F26:G27"/>
    <mergeCell ref="J26:J27"/>
    <mergeCell ref="D10:E10"/>
    <mergeCell ref="D12:E12"/>
    <mergeCell ref="D13:E13"/>
    <mergeCell ref="D14:E14"/>
    <mergeCell ref="D15:E15"/>
    <mergeCell ref="D22:E22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0A41E9-E0C1-4C7A-AFF4-1BF36B62E7BC}">
  <sheetPr codeName="Sheet33">
    <tabColor rgb="FFC00000"/>
  </sheetPr>
  <dimension ref="A1:P45"/>
  <sheetViews>
    <sheetView view="pageBreakPreview" topLeftCell="A2" zoomScale="70" zoomScaleNormal="100" zoomScaleSheetLayoutView="70" workbookViewId="0">
      <selection activeCell="L13" sqref="L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65</v>
      </c>
      <c r="O3" s="4"/>
    </row>
    <row r="4" spans="1:16" s="3" customFormat="1" ht="30" customHeight="1">
      <c r="B4" s="12" t="s">
        <v>5</v>
      </c>
      <c r="C4" s="13" t="s">
        <v>278</v>
      </c>
      <c r="D4" s="10"/>
      <c r="E4" s="10"/>
      <c r="F4" s="14" t="s">
        <v>7</v>
      </c>
      <c r="G4" s="15"/>
      <c r="H4" s="15"/>
      <c r="I4" s="15"/>
      <c r="J4" s="16">
        <v>45369</v>
      </c>
      <c r="L4" s="17"/>
      <c r="N4" s="3">
        <f>960/64</f>
        <v>15</v>
      </c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N5" s="3">
        <f>74*15</f>
        <v>1110</v>
      </c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3" t="s">
        <v>125</v>
      </c>
      <c r="N6" s="3">
        <f>N5-200</f>
        <v>910</v>
      </c>
      <c r="P6" s="4"/>
    </row>
    <row r="7" spans="1:16" s="3" customFormat="1" ht="13.5" customHeight="1" thickBot="1">
      <c r="B7" s="23"/>
      <c r="C7" s="24"/>
      <c r="D7" s="24"/>
      <c r="G7" s="25"/>
      <c r="J7" s="26"/>
      <c r="L7" s="3" t="s">
        <v>126</v>
      </c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127</v>
      </c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279</v>
      </c>
      <c r="E10" s="157"/>
      <c r="F10" s="39">
        <v>580</v>
      </c>
      <c r="G10" s="45"/>
      <c r="H10" s="41"/>
      <c r="I10" s="42"/>
      <c r="J10" s="43">
        <f>F10</f>
        <v>580</v>
      </c>
      <c r="L10" s="24" t="s">
        <v>128</v>
      </c>
      <c r="P10" s="78"/>
    </row>
    <row r="11" spans="1:16" s="3" customFormat="1" ht="20.100000000000001" customHeight="1">
      <c r="B11" s="36"/>
      <c r="C11" s="37"/>
      <c r="D11" s="156" t="s">
        <v>280</v>
      </c>
      <c r="E11" s="157"/>
      <c r="F11" s="39">
        <v>700</v>
      </c>
      <c r="G11" s="40"/>
      <c r="H11" s="41"/>
      <c r="I11" s="42"/>
      <c r="J11" s="43">
        <f>F11</f>
        <v>700</v>
      </c>
      <c r="L11" s="3" t="s">
        <v>130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129</v>
      </c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 t="s">
        <v>131</v>
      </c>
      <c r="E13" s="38"/>
      <c r="F13" s="39"/>
      <c r="G13" s="45"/>
      <c r="H13" s="41"/>
      <c r="I13" s="42"/>
      <c r="J13" s="43"/>
      <c r="L13" s="3" t="s">
        <v>133</v>
      </c>
      <c r="M13" s="5"/>
      <c r="O13" s="4"/>
      <c r="P13" s="81"/>
    </row>
    <row r="14" spans="1:16" s="3" customFormat="1" ht="20.100000000000001" customHeight="1">
      <c r="B14" s="36"/>
      <c r="C14" s="37"/>
      <c r="D14" s="49" t="s">
        <v>132</v>
      </c>
      <c r="E14" s="38"/>
      <c r="F14" s="39"/>
      <c r="G14" s="45"/>
      <c r="H14" s="41"/>
      <c r="I14" s="42"/>
      <c r="J14" s="43"/>
      <c r="L14" s="3" t="s">
        <v>129</v>
      </c>
      <c r="M14" s="5"/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L15" s="3" t="s">
        <v>131</v>
      </c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>
        <f>910-1110</f>
        <v>-200</v>
      </c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L18" s="3" t="s">
        <v>134</v>
      </c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1280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5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5">
      <c r="B34" s="7"/>
      <c r="C34" s="155" t="s">
        <v>281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5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5">
      <c r="B36" s="7"/>
      <c r="C36" s="68"/>
      <c r="D36" s="68"/>
      <c r="E36" s="67"/>
      <c r="F36" s="67"/>
      <c r="G36" s="67"/>
      <c r="H36" s="67"/>
      <c r="I36" s="67"/>
      <c r="J36" s="67"/>
    </row>
    <row r="37" spans="2:15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5">
      <c r="B38" s="7"/>
      <c r="C38" s="68"/>
      <c r="D38" s="68"/>
      <c r="E38" s="67"/>
      <c r="F38" s="67"/>
      <c r="G38" s="67"/>
      <c r="H38" s="67"/>
      <c r="I38" s="67"/>
      <c r="J38" s="67"/>
    </row>
    <row r="39" spans="2:15">
      <c r="C39" s="68"/>
      <c r="D39" s="68"/>
      <c r="E39" s="67"/>
      <c r="F39" s="67"/>
      <c r="G39" s="67"/>
      <c r="H39" s="67"/>
      <c r="I39" s="67"/>
      <c r="J39" s="67"/>
    </row>
    <row r="40" spans="2:15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5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5">
      <c r="B42" s="125"/>
      <c r="C42" s="125"/>
      <c r="E42" s="7"/>
      <c r="F42" s="7"/>
    </row>
    <row r="43" spans="2:15">
      <c r="O43" s="8">
        <f>118+88</f>
        <v>206</v>
      </c>
    </row>
    <row r="45" spans="2:15" ht="15">
      <c r="M45" s="75"/>
    </row>
  </sheetData>
  <mergeCells count="18">
    <mergeCell ref="B42:C42"/>
    <mergeCell ref="D11:E11"/>
    <mergeCell ref="C34:D34"/>
    <mergeCell ref="D23:E23"/>
    <mergeCell ref="B26:B27"/>
    <mergeCell ref="C26:C27"/>
    <mergeCell ref="D26:E27"/>
    <mergeCell ref="F26:G27"/>
    <mergeCell ref="J26:J27"/>
    <mergeCell ref="D10:E10"/>
    <mergeCell ref="D15:E15"/>
    <mergeCell ref="D22:E22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23DBA9-CDAB-44DB-A84D-2E66AE59D246}">
  <sheetPr codeName="Sheet34">
    <tabColor rgb="FFC00000"/>
  </sheetPr>
  <dimension ref="A1:P45"/>
  <sheetViews>
    <sheetView view="pageBreakPreview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64</v>
      </c>
      <c r="O3" s="4"/>
    </row>
    <row r="4" spans="1:16" s="3" customFormat="1" ht="30" customHeight="1">
      <c r="B4" s="12" t="s">
        <v>5</v>
      </c>
      <c r="C4" s="13" t="s">
        <v>144</v>
      </c>
      <c r="D4" s="10"/>
      <c r="E4" s="10"/>
      <c r="F4" s="14" t="s">
        <v>7</v>
      </c>
      <c r="G4" s="15"/>
      <c r="H4" s="15"/>
      <c r="I4" s="15"/>
      <c r="J4" s="16">
        <v>45369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277</v>
      </c>
      <c r="E10" s="157"/>
      <c r="F10" s="39"/>
      <c r="G10" s="40"/>
      <c r="H10" s="41"/>
      <c r="I10" s="42"/>
      <c r="J10" s="43">
        <v>5000.21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5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5000.21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6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D9:E9"/>
    <mergeCell ref="F9:H9"/>
    <mergeCell ref="D10:E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DBCA54-20BB-4537-931D-D0918D14C58B}">
  <sheetPr codeName="Sheet35">
    <tabColor rgb="FFC00000"/>
  </sheetPr>
  <dimension ref="A1:P45"/>
  <sheetViews>
    <sheetView view="pageBreakPreview" zoomScale="70" zoomScaleNormal="100" zoomScaleSheetLayoutView="7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63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275</v>
      </c>
      <c r="D4" s="10"/>
      <c r="E4" s="10"/>
      <c r="F4" s="14" t="s">
        <v>7</v>
      </c>
      <c r="G4" s="15"/>
      <c r="H4" s="15"/>
      <c r="I4" s="15"/>
      <c r="J4" s="16">
        <v>45364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276</v>
      </c>
      <c r="E10" s="157"/>
      <c r="F10" s="39"/>
      <c r="G10" s="40"/>
      <c r="H10" s="41"/>
      <c r="I10" s="42"/>
      <c r="J10" s="43">
        <v>1676.2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57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1726.2</v>
      </c>
      <c r="L26" s="99">
        <f>J26-1500</f>
        <v>226.20000000000005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64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E7A21E-7391-492C-9184-212B232F9A7D}">
  <sheetPr codeName="Sheet36">
    <tabColor rgb="FFC00000"/>
  </sheetPr>
  <dimension ref="A1:P45"/>
  <sheetViews>
    <sheetView view="pageBreakPreview" topLeftCell="A2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62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1" t="s">
        <v>101</v>
      </c>
      <c r="E10" s="152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273</v>
      </c>
      <c r="E11" s="90"/>
      <c r="F11" s="39">
        <v>2000</v>
      </c>
      <c r="G11" s="40"/>
      <c r="H11" s="41"/>
      <c r="I11" s="42"/>
      <c r="J11" s="91">
        <f>F11</f>
        <v>2000</v>
      </c>
      <c r="M11" s="5"/>
      <c r="N11" s="5"/>
      <c r="P11" s="4"/>
    </row>
    <row r="12" spans="1:16" s="3" customFormat="1" ht="20.100000000000001" customHeight="1">
      <c r="B12" s="36"/>
      <c r="C12" s="37"/>
      <c r="D12" s="151" t="s">
        <v>102</v>
      </c>
      <c r="E12" s="152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1" t="s">
        <v>103</v>
      </c>
      <c r="E13" s="152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3"/>
      <c r="M17" s="153"/>
      <c r="N17" s="153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3"/>
      <c r="M18" s="153"/>
      <c r="N18" s="153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3"/>
      <c r="M19" s="153"/>
      <c r="N19" s="153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C6B9F-3886-4C2A-B1F2-F0E123BCEAA6}">
  <sheetPr codeName="Sheet37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61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45363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108</v>
      </c>
      <c r="E10" s="157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165" t="s">
        <v>274</v>
      </c>
      <c r="E11" s="157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23DB4-664C-4F4B-BC4C-C9BF89491535}">
  <sheetPr codeName="Sheet38">
    <tabColor rgb="FFC00000"/>
  </sheetPr>
  <dimension ref="A1:P45"/>
  <sheetViews>
    <sheetView view="pageBreakPreview" zoomScale="90" zoomScaleNormal="100" zoomScaleSheetLayoutView="90" workbookViewId="0">
      <selection activeCell="D12" sqref="D12:E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60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45363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113</v>
      </c>
      <c r="E10" s="157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273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8"/>
      <c r="E26" s="159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60"/>
      <c r="E27" s="161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5" t="s">
        <v>114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B42:C42"/>
    <mergeCell ref="B26:B27"/>
    <mergeCell ref="C26:C27"/>
    <mergeCell ref="D26:E27"/>
    <mergeCell ref="F26:G27"/>
    <mergeCell ref="J26:J27"/>
    <mergeCell ref="C34:D34"/>
    <mergeCell ref="B1:F1"/>
    <mergeCell ref="G1:J1"/>
    <mergeCell ref="C3:E3"/>
    <mergeCell ref="D9:E9"/>
    <mergeCell ref="F9:H9"/>
    <mergeCell ref="D10:E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88D49-6BBF-4F9A-9809-6B8F0C16F528}">
  <sheetPr codeName="Sheet39">
    <tabColor rgb="FFC00000"/>
  </sheetPr>
  <dimension ref="A1:P45"/>
  <sheetViews>
    <sheetView view="pageBreakPreview" zoomScale="80" zoomScaleNormal="100" zoomScaleSheetLayoutView="80" workbookViewId="0">
      <selection activeCell="J3" sqref="J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/>
      <c r="D3" s="150"/>
      <c r="E3" s="150"/>
      <c r="F3" s="11" t="s">
        <v>4</v>
      </c>
      <c r="G3" s="11"/>
      <c r="H3" s="11"/>
      <c r="I3" s="11"/>
      <c r="J3" s="77">
        <v>52</v>
      </c>
      <c r="O3" s="4"/>
    </row>
    <row r="4" spans="1:16" s="3" customFormat="1" ht="30" customHeight="1">
      <c r="B4" s="12" t="s">
        <v>5</v>
      </c>
      <c r="C4" s="13" t="s">
        <v>270</v>
      </c>
      <c r="D4" s="10"/>
      <c r="E4" s="10"/>
      <c r="F4" s="14" t="s">
        <v>7</v>
      </c>
      <c r="G4" s="15"/>
      <c r="H4" s="15"/>
      <c r="I4" s="15"/>
      <c r="J4" s="16">
        <v>45351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49" t="s">
        <v>271</v>
      </c>
      <c r="E10" s="38"/>
      <c r="F10" s="39">
        <v>4705.25</v>
      </c>
      <c r="G10" s="40"/>
      <c r="H10" s="41"/>
      <c r="I10" s="42"/>
      <c r="J10" s="43">
        <f>F10</f>
        <v>4705.25</v>
      </c>
      <c r="P10" s="78"/>
    </row>
    <row r="11" spans="1:16" s="3" customFormat="1" ht="20.100000000000001" customHeight="1">
      <c r="B11" s="36"/>
      <c r="C11" s="37"/>
      <c r="D11" s="49" t="s">
        <v>272</v>
      </c>
      <c r="E11" s="38"/>
      <c r="F11" s="39">
        <v>6162.75</v>
      </c>
      <c r="G11" s="40"/>
      <c r="H11" s="41"/>
      <c r="I11" s="42"/>
      <c r="J11" s="43">
        <f>F11</f>
        <v>6162.75</v>
      </c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10868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5"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5:E15"/>
    <mergeCell ref="D22:E2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2FFF9B-BCD8-450D-A729-7ADEB6CCEE81}">
  <sheetPr codeName="Sheet40">
    <tabColor rgb="FFC00000"/>
  </sheetPr>
  <dimension ref="A1:P45"/>
  <sheetViews>
    <sheetView view="pageBreakPreview" topLeftCell="B1" zoomScaleNormal="100" zoomScaleSheetLayoutView="10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119</v>
      </c>
      <c r="D3" s="150"/>
      <c r="E3" s="150"/>
      <c r="F3" s="11" t="s">
        <v>4</v>
      </c>
      <c r="G3" s="11"/>
      <c r="H3" s="11"/>
      <c r="I3" s="11"/>
      <c r="J3" s="77">
        <v>51</v>
      </c>
      <c r="O3" s="4"/>
    </row>
    <row r="4" spans="1:16" s="3" customFormat="1" ht="30" customHeight="1">
      <c r="B4" s="12" t="s">
        <v>5</v>
      </c>
      <c r="C4" s="13" t="s">
        <v>269</v>
      </c>
      <c r="D4" s="10"/>
      <c r="E4" s="10"/>
      <c r="F4" s="14" t="s">
        <v>7</v>
      </c>
      <c r="G4" s="15"/>
      <c r="H4" s="15"/>
      <c r="I4" s="15"/>
      <c r="J4" s="16">
        <v>45351</v>
      </c>
      <c r="L4" s="17"/>
      <c r="N4" s="3">
        <f>135*2</f>
        <v>270</v>
      </c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226</v>
      </c>
      <c r="E10" s="157"/>
      <c r="F10" s="39">
        <v>1154.27</v>
      </c>
      <c r="G10" s="40"/>
      <c r="H10" s="41"/>
      <c r="I10" s="42"/>
      <c r="J10" s="43">
        <f>F10</f>
        <v>1154.27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  <c r="P12" s="104">
        <f>1205-F10</f>
        <v>50.730000000000018</v>
      </c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>
        <f>5500-4306.5</f>
        <v>1193.5</v>
      </c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1154.27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C45E5C-5481-480C-A234-4AC373830064}">
  <sheetPr>
    <tabColor rgb="FFC00000"/>
  </sheetPr>
  <dimension ref="A1:P45"/>
  <sheetViews>
    <sheetView view="pageBreakPreview" zoomScaleNormal="100" zoomScaleSheetLayoutView="10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7"/>
    <col min="14" max="14" width="16.28515625" style="7" bestFit="1" customWidth="1"/>
    <col min="15" max="15" width="14.5703125" style="71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M1" s="24"/>
      <c r="N1" s="24"/>
      <c r="O1" s="78"/>
    </row>
    <row r="2" spans="1:16" ht="15" thickTop="1"/>
    <row r="3" spans="1:16" s="3" customFormat="1" ht="30" customHeight="1">
      <c r="B3" s="9" t="s">
        <v>2</v>
      </c>
      <c r="C3" s="131" t="s">
        <v>393</v>
      </c>
      <c r="D3" s="131"/>
      <c r="E3" s="131"/>
      <c r="F3" s="11" t="s">
        <v>4</v>
      </c>
      <c r="G3" s="11"/>
      <c r="H3" s="11"/>
      <c r="I3" s="11"/>
      <c r="J3" s="77">
        <v>130</v>
      </c>
      <c r="L3" s="29"/>
      <c r="M3" s="24"/>
      <c r="N3" s="24"/>
      <c r="O3" s="78"/>
    </row>
    <row r="4" spans="1:16" s="3" customFormat="1" ht="30" customHeight="1">
      <c r="B4" s="12" t="s">
        <v>5</v>
      </c>
      <c r="C4" s="13" t="s">
        <v>245</v>
      </c>
      <c r="D4" s="10"/>
      <c r="E4" s="10"/>
      <c r="F4" s="14" t="s">
        <v>7</v>
      </c>
      <c r="G4" s="15"/>
      <c r="H4" s="15"/>
      <c r="I4" s="15"/>
      <c r="J4" s="16">
        <v>45447</v>
      </c>
      <c r="L4" s="17"/>
      <c r="M4" s="24"/>
      <c r="N4" s="24"/>
      <c r="O4" s="24"/>
      <c r="P4" s="4"/>
    </row>
    <row r="5" spans="1:16" s="3" customFormat="1" ht="30" customHeight="1">
      <c r="B5" s="12" t="s">
        <v>8</v>
      </c>
      <c r="C5" s="132" t="s">
        <v>401</v>
      </c>
      <c r="D5" s="132"/>
      <c r="E5" s="132"/>
      <c r="F5" s="15" t="s">
        <v>10</v>
      </c>
      <c r="G5" s="15"/>
      <c r="H5" s="15"/>
      <c r="I5" s="15"/>
      <c r="J5" s="16"/>
      <c r="M5" s="24"/>
      <c r="N5" s="24"/>
      <c r="O5" s="2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M6" s="24"/>
      <c r="N6" s="24"/>
      <c r="O6" s="24"/>
      <c r="P6" s="4"/>
    </row>
    <row r="7" spans="1:16" s="3" customFormat="1" ht="13.5" customHeight="1" thickBot="1">
      <c r="B7" s="23"/>
      <c r="C7" s="24"/>
      <c r="D7" s="24"/>
      <c r="G7" s="25"/>
      <c r="J7" s="26"/>
      <c r="M7" s="24"/>
      <c r="N7" s="24"/>
      <c r="O7" s="2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7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29">
        <f>969+500+50+386+280+769</f>
        <v>2954</v>
      </c>
      <c r="M9" s="29" t="s">
        <v>394</v>
      </c>
      <c r="N9" s="29" t="s">
        <v>395</v>
      </c>
      <c r="O9" s="29" t="s">
        <v>396</v>
      </c>
      <c r="P9" s="35"/>
    </row>
    <row r="10" spans="1:16" s="24" customFormat="1" ht="20.100000000000001" customHeight="1">
      <c r="B10" s="36"/>
      <c r="C10" s="37"/>
      <c r="D10" s="156" t="s">
        <v>248</v>
      </c>
      <c r="E10" s="157"/>
      <c r="F10" s="39">
        <f>386+969+769+280</f>
        <v>2404</v>
      </c>
      <c r="G10" s="40"/>
      <c r="H10" s="41"/>
      <c r="I10" s="42"/>
      <c r="J10" s="43">
        <f>F10</f>
        <v>2404</v>
      </c>
      <c r="L10" s="24">
        <f>3000-L9</f>
        <v>46</v>
      </c>
      <c r="M10" s="24">
        <v>4</v>
      </c>
      <c r="N10" s="24">
        <v>5</v>
      </c>
      <c r="O10" s="24">
        <v>8</v>
      </c>
      <c r="P10" s="78"/>
    </row>
    <row r="11" spans="1:16" s="3" customFormat="1" ht="20.100000000000001" customHeight="1">
      <c r="B11" s="36"/>
      <c r="C11" s="37"/>
      <c r="D11" s="49" t="s">
        <v>397</v>
      </c>
      <c r="E11" s="38"/>
      <c r="F11" s="39">
        <f>500+50</f>
        <v>550</v>
      </c>
      <c r="G11" s="40"/>
      <c r="H11" s="41"/>
      <c r="I11" s="42"/>
      <c r="J11" s="43">
        <f t="shared" ref="J11" si="0">F11</f>
        <v>550</v>
      </c>
      <c r="L11" s="3">
        <f>951-L10</f>
        <v>905</v>
      </c>
      <c r="M11" s="7">
        <v>2</v>
      </c>
      <c r="N11" s="7">
        <v>2</v>
      </c>
      <c r="O11" s="24">
        <v>2</v>
      </c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M12" s="7">
        <v>4</v>
      </c>
      <c r="N12" s="24">
        <v>4</v>
      </c>
      <c r="O12" s="78"/>
    </row>
    <row r="13" spans="1:16" s="3" customFormat="1" ht="20.100000000000001" customHeight="1">
      <c r="B13" s="36"/>
      <c r="C13" s="37"/>
      <c r="D13" s="49"/>
      <c r="E13" s="38"/>
      <c r="F13" s="84"/>
      <c r="G13" s="45"/>
      <c r="H13" s="41"/>
      <c r="I13" s="42"/>
      <c r="J13" s="92"/>
      <c r="M13" s="7">
        <v>4</v>
      </c>
      <c r="N13" s="24"/>
      <c r="O13" s="78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124">
        <f>SUM(M10:M13)</f>
        <v>14</v>
      </c>
      <c r="N14" s="124">
        <f t="shared" ref="N14:O14" si="1">SUM(N10:N13)</f>
        <v>11</v>
      </c>
      <c r="O14" s="124">
        <f t="shared" si="1"/>
        <v>10</v>
      </c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7"/>
      <c r="N15" s="24"/>
      <c r="O15" s="78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7"/>
      <c r="N16" s="24"/>
      <c r="O16" s="78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7"/>
      <c r="N17" s="78"/>
      <c r="O17" s="78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7"/>
      <c r="N18" s="78"/>
      <c r="O18" s="78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7"/>
      <c r="N19" s="121"/>
      <c r="O19" s="78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7"/>
      <c r="N20" s="24"/>
      <c r="O20" s="78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7"/>
      <c r="N21" s="24"/>
      <c r="O21" s="78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7"/>
      <c r="N22" s="24"/>
      <c r="O22" s="78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7"/>
      <c r="N23" s="24"/>
      <c r="O23" s="78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7"/>
      <c r="N24" s="24"/>
      <c r="O24" s="78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7"/>
      <c r="N25" s="24"/>
      <c r="O25" s="78"/>
    </row>
    <row r="26" spans="2:15" s="3" customFormat="1" ht="20.100000000000001" customHeight="1">
      <c r="B26" s="136"/>
      <c r="C26" s="138" t="s">
        <v>18</v>
      </c>
      <c r="D26" s="140" t="s">
        <v>246</v>
      </c>
      <c r="E26" s="141"/>
      <c r="F26" s="144" t="s">
        <v>19</v>
      </c>
      <c r="G26" s="145"/>
      <c r="H26" s="62"/>
      <c r="I26" s="62"/>
      <c r="J26" s="148">
        <f>SUM(J10:J25)</f>
        <v>2954</v>
      </c>
      <c r="M26" s="122"/>
      <c r="N26" s="24"/>
      <c r="O26" s="78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7"/>
      <c r="N27" s="24"/>
      <c r="O27" s="78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122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123"/>
    </row>
    <row r="42" spans="2:13">
      <c r="B42" s="125"/>
      <c r="C42" s="125"/>
      <c r="E42" s="7"/>
      <c r="F42" s="7"/>
    </row>
    <row r="45" spans="2:13" ht="15">
      <c r="M45" s="124"/>
    </row>
  </sheetData>
  <mergeCells count="13">
    <mergeCell ref="B42:C42"/>
    <mergeCell ref="D10:E10"/>
    <mergeCell ref="B26:B27"/>
    <mergeCell ref="C26:C27"/>
    <mergeCell ref="D26:E27"/>
    <mergeCell ref="F26:G27"/>
    <mergeCell ref="J26:J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8B17DD-C4B4-4760-85C2-D174473F1CB5}">
  <sheetPr codeName="Sheet41">
    <tabColor rgb="FF00B0F0"/>
  </sheetPr>
  <dimension ref="A1:P45"/>
  <sheetViews>
    <sheetView view="pageBreakPreview" zoomScale="90" zoomScaleNormal="100" zoomScaleSheetLayoutView="90" workbookViewId="0">
      <selection activeCell="D23" sqref="D2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213</v>
      </c>
      <c r="D3" s="131"/>
      <c r="E3" s="131"/>
      <c r="F3" s="11" t="s">
        <v>4</v>
      </c>
      <c r="G3" s="11"/>
      <c r="H3" s="11"/>
      <c r="I3" s="11"/>
      <c r="J3" s="77">
        <v>50</v>
      </c>
      <c r="O3" s="4"/>
    </row>
    <row r="4" spans="1:16" s="3" customFormat="1" ht="30" customHeight="1">
      <c r="B4" s="12" t="s">
        <v>5</v>
      </c>
      <c r="C4" s="13" t="s">
        <v>261</v>
      </c>
      <c r="D4" s="10"/>
      <c r="E4" s="10"/>
      <c r="F4" s="14" t="s">
        <v>7</v>
      </c>
      <c r="G4" s="15"/>
      <c r="H4" s="15"/>
      <c r="I4" s="15"/>
      <c r="J4" s="16">
        <v>45343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14</v>
      </c>
      <c r="C10" s="37" t="s">
        <v>215</v>
      </c>
      <c r="D10" s="49" t="s">
        <v>187</v>
      </c>
      <c r="E10" s="38"/>
      <c r="F10" s="39">
        <v>58</v>
      </c>
      <c r="G10" s="40"/>
      <c r="H10" s="41"/>
      <c r="I10" s="42"/>
      <c r="J10" s="43">
        <f>F10*B10</f>
        <v>812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80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0"/>
      <c r="H15" s="41"/>
      <c r="I15" s="42"/>
      <c r="J15" s="43"/>
      <c r="L15" s="23"/>
      <c r="M15" s="5"/>
      <c r="N15" s="5"/>
      <c r="P15" s="4"/>
    </row>
    <row r="16" spans="1:16" s="3" customFormat="1" ht="20.100000000000001" customHeight="1">
      <c r="B16" s="36"/>
      <c r="C16" s="37"/>
      <c r="D16" s="49"/>
      <c r="E16" s="52"/>
      <c r="F16" s="39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39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268</v>
      </c>
      <c r="E26" s="141"/>
      <c r="F26" s="144" t="s">
        <v>19</v>
      </c>
      <c r="G26" s="145"/>
      <c r="H26" s="62"/>
      <c r="I26" s="62"/>
      <c r="J26" s="148">
        <f>SUM(J10:J25)</f>
        <v>812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0B29AF-CF0C-4971-98EB-ED758A184AEB}">
  <sheetPr codeName="Sheet42"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260</v>
      </c>
      <c r="D3" s="131"/>
      <c r="E3" s="131"/>
      <c r="F3" s="11" t="s">
        <v>4</v>
      </c>
      <c r="G3" s="11"/>
      <c r="H3" s="11"/>
      <c r="I3" s="11"/>
      <c r="J3" s="77">
        <v>49</v>
      </c>
      <c r="O3" s="4"/>
    </row>
    <row r="4" spans="1:16" s="3" customFormat="1" ht="30" customHeight="1">
      <c r="B4" s="12" t="s">
        <v>5</v>
      </c>
      <c r="C4" s="13" t="s">
        <v>254</v>
      </c>
      <c r="D4" s="10"/>
      <c r="E4" s="10"/>
      <c r="F4" s="14" t="s">
        <v>7</v>
      </c>
      <c r="G4" s="15"/>
      <c r="H4" s="15"/>
      <c r="I4" s="15"/>
      <c r="J4" s="16">
        <v>45343</v>
      </c>
      <c r="L4" s="17"/>
      <c r="P4" s="4"/>
    </row>
    <row r="5" spans="1:16" s="3" customFormat="1" ht="30" customHeight="1">
      <c r="B5" s="12" t="s">
        <v>8</v>
      </c>
      <c r="C5" s="132" t="s">
        <v>35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257</v>
      </c>
      <c r="D10" s="49" t="s">
        <v>255</v>
      </c>
      <c r="E10" s="38"/>
      <c r="F10" s="39">
        <v>3104</v>
      </c>
      <c r="G10" s="40"/>
      <c r="H10" s="41"/>
      <c r="I10" s="42"/>
      <c r="J10" s="43">
        <f>F10*B10</f>
        <v>3104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0"/>
      <c r="H15" s="41"/>
      <c r="I15" s="42"/>
      <c r="J15" s="43"/>
      <c r="L15" s="23"/>
      <c r="M15" s="5"/>
      <c r="N15" s="5"/>
      <c r="P15" s="4"/>
    </row>
    <row r="16" spans="1:16" s="3" customFormat="1" ht="20.100000000000001" customHeight="1">
      <c r="B16" s="36"/>
      <c r="C16" s="37"/>
      <c r="D16" s="49"/>
      <c r="E16" s="52"/>
      <c r="F16" s="39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39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 t="s">
        <v>252</v>
      </c>
      <c r="E18" s="52"/>
      <c r="F18" s="39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 t="s">
        <v>259</v>
      </c>
      <c r="E19" s="50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3104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E4AE5-EA2E-46C4-8EFC-4616F4D6CBC2}">
  <sheetPr codeName="Sheet43"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253</v>
      </c>
      <c r="D3" s="131"/>
      <c r="E3" s="131"/>
      <c r="F3" s="11" t="s">
        <v>4</v>
      </c>
      <c r="G3" s="11"/>
      <c r="H3" s="11"/>
      <c r="I3" s="11"/>
      <c r="J3" s="77">
        <v>48</v>
      </c>
      <c r="O3" s="4"/>
    </row>
    <row r="4" spans="1:16" s="3" customFormat="1" ht="30" customHeight="1">
      <c r="B4" s="12" t="s">
        <v>5</v>
      </c>
      <c r="C4" s="13" t="s">
        <v>254</v>
      </c>
      <c r="D4" s="10"/>
      <c r="E4" s="10"/>
      <c r="F4" s="14" t="s">
        <v>7</v>
      </c>
      <c r="G4" s="15"/>
      <c r="H4" s="15"/>
      <c r="I4" s="15"/>
      <c r="J4" s="16">
        <v>45343</v>
      </c>
      <c r="L4" s="17"/>
      <c r="P4" s="4"/>
    </row>
    <row r="5" spans="1:16" s="3" customFormat="1" ht="30" customHeight="1">
      <c r="B5" s="12" t="s">
        <v>8</v>
      </c>
      <c r="C5" s="132" t="s">
        <v>35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97</v>
      </c>
      <c r="D10" s="49" t="s">
        <v>256</v>
      </c>
      <c r="E10" s="38"/>
      <c r="F10" s="39">
        <v>799</v>
      </c>
      <c r="G10" s="40"/>
      <c r="H10" s="41"/>
      <c r="I10" s="42"/>
      <c r="J10" s="43">
        <f>F10*B10</f>
        <v>799</v>
      </c>
      <c r="L10" s="23"/>
      <c r="M10" s="5"/>
      <c r="N10" s="5"/>
      <c r="P10" s="4"/>
    </row>
    <row r="11" spans="1:16" s="3" customFormat="1" ht="20.100000000000001" customHeight="1">
      <c r="B11" s="36">
        <v>1</v>
      </c>
      <c r="C11" s="37" t="s">
        <v>257</v>
      </c>
      <c r="D11" s="49" t="s">
        <v>258</v>
      </c>
      <c r="E11" s="38"/>
      <c r="F11" s="39">
        <v>360</v>
      </c>
      <c r="G11" s="45"/>
      <c r="H11" s="41"/>
      <c r="I11" s="42"/>
      <c r="J11" s="43">
        <f>F11*B11</f>
        <v>360</v>
      </c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0"/>
      <c r="H15" s="41"/>
      <c r="I15" s="42"/>
      <c r="J15" s="43"/>
      <c r="L15" s="23"/>
      <c r="M15" s="5"/>
      <c r="N15" s="5"/>
      <c r="P15" s="4"/>
    </row>
    <row r="16" spans="1:16" s="3" customFormat="1" ht="20.100000000000001" customHeight="1">
      <c r="B16" s="36"/>
      <c r="C16" s="37"/>
      <c r="D16" s="49"/>
      <c r="E16" s="52"/>
      <c r="F16" s="39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39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 t="s">
        <v>252</v>
      </c>
      <c r="E18" s="52"/>
      <c r="F18" s="39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 t="s">
        <v>259</v>
      </c>
      <c r="E19" s="50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1159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9D2560-7660-43EE-A908-7CA2E3EB3CE1}">
  <sheetPr codeName="Sheet44">
    <tabColor rgb="FF00B0F0"/>
  </sheetPr>
  <dimension ref="A1:P45"/>
  <sheetViews>
    <sheetView view="pageBreakPreview" zoomScale="80" zoomScaleNormal="100" zoomScaleSheetLayoutView="80" workbookViewId="0">
      <selection activeCell="L1" sqref="L1:N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131" t="s">
        <v>89</v>
      </c>
      <c r="M1" s="131"/>
      <c r="N1" s="131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47</v>
      </c>
      <c r="O3" s="4"/>
    </row>
    <row r="4" spans="1:16" s="3" customFormat="1" ht="30" customHeight="1">
      <c r="B4" s="12" t="s">
        <v>5</v>
      </c>
      <c r="C4" s="13" t="s">
        <v>261</v>
      </c>
      <c r="D4" s="10"/>
      <c r="E4" s="10"/>
      <c r="F4" s="14" t="s">
        <v>7</v>
      </c>
      <c r="G4" s="15"/>
      <c r="H4" s="15"/>
      <c r="I4" s="15"/>
      <c r="J4" s="16">
        <v>45344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>
        <v>1</v>
      </c>
      <c r="C10" s="37" t="s">
        <v>262</v>
      </c>
      <c r="D10" s="49" t="s">
        <v>263</v>
      </c>
      <c r="E10" s="38"/>
      <c r="F10" s="39">
        <v>650</v>
      </c>
      <c r="G10" s="40"/>
      <c r="H10" s="41"/>
      <c r="I10" s="42"/>
      <c r="J10" s="43">
        <f>F10*B10</f>
        <v>650</v>
      </c>
      <c r="P10" s="78"/>
    </row>
    <row r="11" spans="1:16" s="3" customFormat="1" ht="20.100000000000001" customHeight="1">
      <c r="B11" s="36">
        <v>2</v>
      </c>
      <c r="C11" s="37" t="s">
        <v>78</v>
      </c>
      <c r="D11" s="49" t="s">
        <v>264</v>
      </c>
      <c r="E11" s="38"/>
      <c r="F11" s="39">
        <v>65</v>
      </c>
      <c r="G11" s="40"/>
      <c r="H11" s="41"/>
      <c r="I11" s="42"/>
      <c r="J11" s="43">
        <f t="shared" ref="J11:J15" si="0">F11*B11</f>
        <v>130</v>
      </c>
      <c r="M11" s="5"/>
      <c r="N11" s="5"/>
      <c r="P11" s="4"/>
    </row>
    <row r="12" spans="1:16" s="3" customFormat="1" ht="20.100000000000001" customHeight="1">
      <c r="B12" s="36">
        <v>4</v>
      </c>
      <c r="C12" s="37" t="s">
        <v>78</v>
      </c>
      <c r="D12" s="49" t="s">
        <v>265</v>
      </c>
      <c r="E12" s="38"/>
      <c r="F12" s="39">
        <v>65</v>
      </c>
      <c r="G12" s="40"/>
      <c r="H12" s="41"/>
      <c r="I12" s="42"/>
      <c r="J12" s="43">
        <f t="shared" si="0"/>
        <v>260</v>
      </c>
      <c r="M12" s="5"/>
      <c r="O12" s="4"/>
    </row>
    <row r="13" spans="1:16" s="3" customFormat="1" ht="20.100000000000001" customHeight="1">
      <c r="B13" s="36">
        <v>4</v>
      </c>
      <c r="C13" s="37" t="s">
        <v>78</v>
      </c>
      <c r="D13" s="49" t="s">
        <v>266</v>
      </c>
      <c r="E13" s="38"/>
      <c r="F13" s="39">
        <v>65</v>
      </c>
      <c r="G13" s="45"/>
      <c r="H13" s="41"/>
      <c r="I13" s="42"/>
      <c r="J13" s="43">
        <f t="shared" si="0"/>
        <v>260</v>
      </c>
      <c r="M13" s="5"/>
      <c r="O13" s="4"/>
      <c r="P13" s="81"/>
    </row>
    <row r="14" spans="1:16" s="3" customFormat="1" ht="20.100000000000001" customHeight="1">
      <c r="B14" s="36">
        <v>4</v>
      </c>
      <c r="C14" s="37" t="s">
        <v>78</v>
      </c>
      <c r="D14" s="49" t="s">
        <v>267</v>
      </c>
      <c r="E14" s="38"/>
      <c r="F14" s="39">
        <v>80</v>
      </c>
      <c r="G14" s="45"/>
      <c r="H14" s="41"/>
      <c r="I14" s="42"/>
      <c r="J14" s="43">
        <f t="shared" si="0"/>
        <v>320</v>
      </c>
      <c r="M14" s="5"/>
      <c r="O14" s="4"/>
    </row>
    <row r="15" spans="1:16" s="3" customFormat="1" ht="20.100000000000001" customHeight="1">
      <c r="B15" s="36">
        <v>1</v>
      </c>
      <c r="C15" s="37" t="s">
        <v>178</v>
      </c>
      <c r="D15" s="49" t="s">
        <v>216</v>
      </c>
      <c r="E15" s="38"/>
      <c r="F15" s="39">
        <v>3500</v>
      </c>
      <c r="G15" s="45"/>
      <c r="H15" s="41"/>
      <c r="I15" s="42"/>
      <c r="J15" s="43">
        <f t="shared" si="0"/>
        <v>3500</v>
      </c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268</v>
      </c>
      <c r="E26" s="141"/>
      <c r="F26" s="144" t="s">
        <v>19</v>
      </c>
      <c r="G26" s="145"/>
      <c r="H26" s="62"/>
      <c r="I26" s="62"/>
      <c r="J26" s="148">
        <f>SUM(J10:J25)</f>
        <v>5120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5">
    <mergeCell ref="L1:N1"/>
    <mergeCell ref="F26:G27"/>
    <mergeCell ref="J26:J27"/>
    <mergeCell ref="B42:C42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78B8F-4A86-47B3-B4BF-6F0919CB3C99}">
  <sheetPr codeName="Sheet45">
    <tabColor rgb="FFC00000"/>
  </sheetPr>
  <dimension ref="A1:P45"/>
  <sheetViews>
    <sheetView view="pageBreakPreview" topLeftCell="B1" zoomScaleNormal="100" zoomScaleSheetLayoutView="10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119</v>
      </c>
      <c r="D3" s="150"/>
      <c r="E3" s="150"/>
      <c r="F3" s="11" t="s">
        <v>4</v>
      </c>
      <c r="G3" s="11"/>
      <c r="H3" s="11"/>
      <c r="I3" s="11"/>
      <c r="J3" s="77">
        <v>46</v>
      </c>
      <c r="O3" s="4"/>
    </row>
    <row r="4" spans="1:16" s="3" customFormat="1" ht="30" customHeight="1">
      <c r="B4" s="12" t="s">
        <v>5</v>
      </c>
      <c r="C4" s="13" t="s">
        <v>251</v>
      </c>
      <c r="D4" s="10"/>
      <c r="E4" s="10"/>
      <c r="F4" s="14" t="s">
        <v>7</v>
      </c>
      <c r="G4" s="15"/>
      <c r="H4" s="15"/>
      <c r="I4" s="15"/>
      <c r="J4" s="16">
        <v>45341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149</v>
      </c>
      <c r="E10" s="157"/>
      <c r="F10" s="39">
        <v>677.82</v>
      </c>
      <c r="G10" s="40"/>
      <c r="H10" s="41"/>
      <c r="I10" s="42"/>
      <c r="J10" s="43">
        <f>F10</f>
        <v>677.82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677.82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A11AF-1B6B-464C-A7D6-F8B992FEB665}">
  <sheetPr codeName="Sheet46">
    <tabColor rgb="FFC0000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244</v>
      </c>
      <c r="D3" s="131"/>
      <c r="E3" s="131"/>
      <c r="F3" s="11" t="s">
        <v>4</v>
      </c>
      <c r="G3" s="11"/>
      <c r="H3" s="11"/>
      <c r="I3" s="11"/>
      <c r="J3" s="77">
        <v>45</v>
      </c>
      <c r="O3" s="4"/>
    </row>
    <row r="4" spans="1:16" s="3" customFormat="1" ht="30" customHeight="1">
      <c r="B4" s="12" t="s">
        <v>5</v>
      </c>
      <c r="C4" s="13" t="s">
        <v>245</v>
      </c>
      <c r="D4" s="10"/>
      <c r="E4" s="10"/>
      <c r="F4" s="14" t="s">
        <v>7</v>
      </c>
      <c r="G4" s="15"/>
      <c r="H4" s="15"/>
      <c r="I4" s="15"/>
      <c r="J4" s="16">
        <v>45341</v>
      </c>
      <c r="L4" s="17"/>
      <c r="P4" s="4"/>
    </row>
    <row r="5" spans="1:16" s="3" customFormat="1" ht="30" customHeight="1">
      <c r="B5" s="12" t="s">
        <v>8</v>
      </c>
      <c r="C5" s="132" t="s">
        <v>247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248</v>
      </c>
      <c r="E10" s="157"/>
      <c r="F10" s="39">
        <f>595+491+372.5</f>
        <v>1458.5</v>
      </c>
      <c r="G10" s="40"/>
      <c r="H10" s="41"/>
      <c r="I10" s="42"/>
      <c r="J10" s="43">
        <f>F10</f>
        <v>1458.5</v>
      </c>
      <c r="P10" s="78"/>
    </row>
    <row r="11" spans="1:16" s="3" customFormat="1" ht="20.100000000000001" customHeight="1">
      <c r="B11" s="36"/>
      <c r="C11" s="37"/>
      <c r="D11" s="49" t="s">
        <v>249</v>
      </c>
      <c r="E11" s="38"/>
      <c r="F11" s="39">
        <v>660</v>
      </c>
      <c r="G11" s="40"/>
      <c r="H11" s="41"/>
      <c r="I11" s="42"/>
      <c r="J11" s="43">
        <f t="shared" ref="J11:J12" si="0">F11</f>
        <v>660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250</v>
      </c>
      <c r="E12" s="38"/>
      <c r="F12" s="39">
        <v>117.3</v>
      </c>
      <c r="G12" s="40"/>
      <c r="H12" s="41"/>
      <c r="I12" s="42"/>
      <c r="J12" s="43">
        <f t="shared" si="0"/>
        <v>117.3</v>
      </c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246</v>
      </c>
      <c r="E26" s="141"/>
      <c r="F26" s="144" t="s">
        <v>19</v>
      </c>
      <c r="G26" s="145"/>
      <c r="H26" s="62"/>
      <c r="I26" s="62"/>
      <c r="J26" s="148">
        <f>SUM(J10:J25)</f>
        <v>2235.8000000000002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6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B42:C42"/>
    <mergeCell ref="B1:F1"/>
    <mergeCell ref="G1:J1"/>
    <mergeCell ref="C3:E3"/>
    <mergeCell ref="D9:E9"/>
    <mergeCell ref="F9:H9"/>
    <mergeCell ref="D10:E10"/>
    <mergeCell ref="C5:E5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30E35D-FB89-48A6-B3B4-1F5475E86B1A}">
  <sheetPr codeName="Sheet47">
    <tabColor rgb="FF00B0F0"/>
  </sheetPr>
  <dimension ref="A1:P45"/>
  <sheetViews>
    <sheetView view="pageBreakPreview" topLeftCell="A7" zoomScale="90" zoomScaleNormal="100" zoomScaleSheetLayoutView="90" workbookViewId="0">
      <selection activeCell="E22" sqref="E2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231</v>
      </c>
      <c r="D3" s="131"/>
      <c r="E3" s="131"/>
      <c r="F3" s="11" t="s">
        <v>4</v>
      </c>
      <c r="G3" s="11"/>
      <c r="H3" s="11"/>
      <c r="I3" s="11"/>
      <c r="J3" s="77">
        <v>44</v>
      </c>
      <c r="O3" s="4"/>
    </row>
    <row r="4" spans="1:16" s="3" customFormat="1" ht="30" customHeight="1">
      <c r="B4" s="12" t="s">
        <v>5</v>
      </c>
      <c r="C4" s="13" t="s">
        <v>243</v>
      </c>
      <c r="D4" s="10"/>
      <c r="E4" s="10"/>
      <c r="F4" s="14" t="s">
        <v>7</v>
      </c>
      <c r="G4" s="15"/>
      <c r="H4" s="15"/>
      <c r="I4" s="15"/>
      <c r="J4" s="16">
        <v>45341</v>
      </c>
      <c r="L4" s="17"/>
      <c r="P4" s="4"/>
    </row>
    <row r="5" spans="1:16" s="3" customFormat="1" ht="30" customHeight="1">
      <c r="B5" s="12" t="s">
        <v>8</v>
      </c>
      <c r="C5" s="132" t="s">
        <v>35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24</v>
      </c>
      <c r="C10" s="37" t="s">
        <v>47</v>
      </c>
      <c r="D10" s="49" t="s">
        <v>232</v>
      </c>
      <c r="E10" s="38"/>
      <c r="F10" s="39">
        <v>66</v>
      </c>
      <c r="G10" s="40"/>
      <c r="H10" s="41"/>
      <c r="I10" s="42"/>
      <c r="J10" s="43">
        <f>F10*B10</f>
        <v>1584</v>
      </c>
      <c r="L10" s="23"/>
      <c r="M10" s="5"/>
      <c r="N10" s="5"/>
      <c r="P10" s="4"/>
    </row>
    <row r="11" spans="1:16" s="3" customFormat="1" ht="20.100000000000001" customHeight="1">
      <c r="B11" s="36">
        <v>24</v>
      </c>
      <c r="C11" s="37" t="s">
        <v>47</v>
      </c>
      <c r="D11" s="49" t="s">
        <v>233</v>
      </c>
      <c r="E11" s="38"/>
      <c r="F11" s="39">
        <v>66</v>
      </c>
      <c r="G11" s="45"/>
      <c r="H11" s="41"/>
      <c r="I11" s="42"/>
      <c r="J11" s="43">
        <f t="shared" ref="J11:J20" si="0">F11*B11</f>
        <v>1584</v>
      </c>
      <c r="L11" s="23"/>
      <c r="M11" s="5"/>
      <c r="O11" s="4"/>
      <c r="P11" s="81"/>
    </row>
    <row r="12" spans="1:16" s="3" customFormat="1" ht="20.100000000000001" customHeight="1">
      <c r="B12" s="36">
        <v>24</v>
      </c>
      <c r="C12" s="37" t="s">
        <v>47</v>
      </c>
      <c r="D12" s="49" t="s">
        <v>234</v>
      </c>
      <c r="E12" s="52"/>
      <c r="F12" s="39">
        <v>66</v>
      </c>
      <c r="G12" s="45"/>
      <c r="H12" s="41"/>
      <c r="I12" s="42"/>
      <c r="J12" s="43">
        <f t="shared" si="0"/>
        <v>1584</v>
      </c>
      <c r="L12" s="23"/>
      <c r="M12" s="5"/>
      <c r="N12" s="4"/>
      <c r="O12" s="4"/>
    </row>
    <row r="13" spans="1:16" s="3" customFormat="1" ht="20.100000000000001" customHeight="1">
      <c r="B13" s="36">
        <v>24</v>
      </c>
      <c r="C13" s="37" t="s">
        <v>47</v>
      </c>
      <c r="D13" s="49" t="s">
        <v>235</v>
      </c>
      <c r="E13" s="38"/>
      <c r="F13" s="39">
        <v>66</v>
      </c>
      <c r="G13" s="45"/>
      <c r="H13" s="41"/>
      <c r="I13" s="42"/>
      <c r="J13" s="43">
        <f t="shared" si="0"/>
        <v>1584</v>
      </c>
      <c r="L13" s="82"/>
      <c r="M13" s="5"/>
      <c r="O13" s="4"/>
    </row>
    <row r="14" spans="1:16" s="3" customFormat="1" ht="20.100000000000001" customHeight="1">
      <c r="B14" s="36">
        <v>24</v>
      </c>
      <c r="C14" s="37" t="s">
        <v>47</v>
      </c>
      <c r="D14" s="49" t="s">
        <v>236</v>
      </c>
      <c r="E14" s="52"/>
      <c r="F14" s="39">
        <v>66</v>
      </c>
      <c r="G14" s="45"/>
      <c r="H14" s="41"/>
      <c r="I14" s="42"/>
      <c r="J14" s="43">
        <f t="shared" si="0"/>
        <v>1584</v>
      </c>
      <c r="L14" s="23"/>
      <c r="M14" s="5"/>
      <c r="N14" s="4"/>
      <c r="O14" s="4"/>
    </row>
    <row r="15" spans="1:16" s="3" customFormat="1" ht="20.100000000000001" customHeight="1">
      <c r="B15" s="36">
        <v>24</v>
      </c>
      <c r="C15" s="37" t="s">
        <v>47</v>
      </c>
      <c r="D15" s="49" t="s">
        <v>237</v>
      </c>
      <c r="E15" s="38"/>
      <c r="F15" s="39">
        <v>66</v>
      </c>
      <c r="G15" s="45"/>
      <c r="H15" s="41"/>
      <c r="I15" s="42"/>
      <c r="J15" s="43">
        <f t="shared" si="0"/>
        <v>1584</v>
      </c>
      <c r="L15" s="23"/>
      <c r="M15" s="5"/>
      <c r="O15" s="4"/>
    </row>
    <row r="16" spans="1:16" s="3" customFormat="1" ht="20.100000000000001" customHeight="1">
      <c r="B16" s="36">
        <v>24</v>
      </c>
      <c r="C16" s="37" t="s">
        <v>47</v>
      </c>
      <c r="D16" s="49" t="s">
        <v>238</v>
      </c>
      <c r="E16" s="52"/>
      <c r="F16" s="39">
        <v>66</v>
      </c>
      <c r="G16" s="45"/>
      <c r="H16" s="41"/>
      <c r="I16" s="42"/>
      <c r="J16" s="43">
        <f t="shared" si="0"/>
        <v>1584</v>
      </c>
      <c r="M16" s="5"/>
      <c r="N16" s="55"/>
      <c r="O16" s="4"/>
    </row>
    <row r="17" spans="2:16" s="3" customFormat="1" ht="20.100000000000001" customHeight="1">
      <c r="B17" s="36">
        <v>24</v>
      </c>
      <c r="C17" s="37" t="s">
        <v>47</v>
      </c>
      <c r="D17" s="49" t="s">
        <v>239</v>
      </c>
      <c r="E17" s="50"/>
      <c r="F17" s="39">
        <v>66</v>
      </c>
      <c r="G17" s="45"/>
      <c r="H17" s="41"/>
      <c r="I17" s="42"/>
      <c r="J17" s="43">
        <f t="shared" si="0"/>
        <v>1584</v>
      </c>
      <c r="M17" s="5"/>
      <c r="O17" s="4"/>
    </row>
    <row r="18" spans="2:16" s="3" customFormat="1" ht="20.100000000000001" customHeight="1">
      <c r="B18" s="36">
        <v>24</v>
      </c>
      <c r="C18" s="37" t="s">
        <v>47</v>
      </c>
      <c r="D18" s="49" t="s">
        <v>240</v>
      </c>
      <c r="E18" s="52"/>
      <c r="F18" s="39">
        <v>66</v>
      </c>
      <c r="G18" s="45"/>
      <c r="H18" s="41"/>
      <c r="I18" s="42"/>
      <c r="J18" s="43">
        <f t="shared" si="0"/>
        <v>1584</v>
      </c>
      <c r="M18" s="5"/>
      <c r="N18" s="55"/>
      <c r="O18" s="4"/>
    </row>
    <row r="19" spans="2:16" s="3" customFormat="1" ht="20.100000000000001" customHeight="1">
      <c r="B19" s="36">
        <v>24</v>
      </c>
      <c r="C19" s="37" t="s">
        <v>47</v>
      </c>
      <c r="D19" s="49" t="s">
        <v>241</v>
      </c>
      <c r="E19" s="50"/>
      <c r="F19" s="39">
        <v>66</v>
      </c>
      <c r="G19" s="45"/>
      <c r="H19" s="41"/>
      <c r="I19" s="42"/>
      <c r="J19" s="43">
        <f t="shared" si="0"/>
        <v>1584</v>
      </c>
      <c r="M19" s="5"/>
      <c r="O19" s="4"/>
    </row>
    <row r="20" spans="2:16" s="3" customFormat="1" ht="20.100000000000001" customHeight="1">
      <c r="B20" s="36">
        <v>60</v>
      </c>
      <c r="C20" s="37" t="s">
        <v>47</v>
      </c>
      <c r="D20" s="49" t="s">
        <v>242</v>
      </c>
      <c r="E20" s="52"/>
      <c r="F20" s="39">
        <v>66</v>
      </c>
      <c r="G20" s="45"/>
      <c r="H20" s="41"/>
      <c r="I20" s="42"/>
      <c r="J20" s="43">
        <f t="shared" si="0"/>
        <v>3960</v>
      </c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>
        <f>300-48-48</f>
        <v>204</v>
      </c>
      <c r="M21" s="5" t="s">
        <v>305</v>
      </c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L22" s="3">
        <f>L21-300</f>
        <v>-96</v>
      </c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19800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3B3213-6EAB-4191-8D05-C386DF40807C}">
  <sheetPr codeName="Sheet48">
    <tabColor rgb="FFC00000"/>
  </sheetPr>
  <dimension ref="A1:P45"/>
  <sheetViews>
    <sheetView view="pageBreakPreview" zoomScaleNormal="100" zoomScaleSheetLayoutView="100" workbookViewId="0">
      <selection activeCell="D10" sqref="D10:E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43</v>
      </c>
      <c r="O3" s="4"/>
    </row>
    <row r="4" spans="1:16" s="3" customFormat="1" ht="30" customHeight="1">
      <c r="B4" s="12" t="s">
        <v>5</v>
      </c>
      <c r="C4" s="13" t="s">
        <v>144</v>
      </c>
      <c r="D4" s="10"/>
      <c r="E4" s="10"/>
      <c r="F4" s="14" t="s">
        <v>7</v>
      </c>
      <c r="G4" s="15"/>
      <c r="H4" s="15"/>
      <c r="I4" s="15"/>
      <c r="J4" s="16">
        <v>45337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226</v>
      </c>
      <c r="E10" s="157"/>
      <c r="F10" s="39"/>
      <c r="G10" s="40"/>
      <c r="H10" s="41"/>
      <c r="I10" s="42"/>
      <c r="J10" s="43">
        <v>4998.96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4998.96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6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D9:E9"/>
    <mergeCell ref="F9:H9"/>
    <mergeCell ref="D10:E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73B51C-8008-4500-9117-315F389A6C6B}">
  <sheetPr codeName="Sheet49">
    <tabColor rgb="FF00B0F0"/>
  </sheetPr>
  <dimension ref="A1:P45"/>
  <sheetViews>
    <sheetView view="pageBreakPreview" zoomScale="90" zoomScaleNormal="100" zoomScaleSheetLayoutView="90" workbookViewId="0">
      <selection activeCell="E11" sqref="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/>
      <c r="D3" s="131"/>
      <c r="E3" s="131"/>
      <c r="F3" s="11" t="s">
        <v>4</v>
      </c>
      <c r="G3" s="11"/>
      <c r="H3" s="11"/>
      <c r="I3" s="11"/>
      <c r="J3" s="77">
        <v>42</v>
      </c>
      <c r="O3" s="4"/>
    </row>
    <row r="4" spans="1:16" s="3" customFormat="1" ht="30" customHeight="1">
      <c r="B4" s="12" t="s">
        <v>5</v>
      </c>
      <c r="C4" s="13" t="s">
        <v>221</v>
      </c>
      <c r="D4" s="10"/>
      <c r="E4" s="10"/>
      <c r="F4" s="14" t="s">
        <v>7</v>
      </c>
      <c r="G4" s="15"/>
      <c r="H4" s="15"/>
      <c r="I4" s="15"/>
      <c r="J4" s="16">
        <v>45337</v>
      </c>
      <c r="L4" s="17"/>
      <c r="P4" s="4"/>
    </row>
    <row r="5" spans="1:16" s="3" customFormat="1" ht="30" customHeight="1">
      <c r="B5" s="12" t="s">
        <v>8</v>
      </c>
      <c r="C5" s="132" t="s">
        <v>222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</v>
      </c>
      <c r="C10" s="37" t="s">
        <v>178</v>
      </c>
      <c r="D10" s="49" t="s">
        <v>223</v>
      </c>
      <c r="E10" s="38"/>
      <c r="F10" s="39"/>
      <c r="G10" s="40"/>
      <c r="H10" s="41"/>
      <c r="I10" s="42"/>
      <c r="J10" s="43"/>
      <c r="L10" s="23"/>
      <c r="M10" s="5"/>
      <c r="N10" s="5"/>
      <c r="P10" s="4"/>
    </row>
    <row r="11" spans="1:16" s="3" customFormat="1" ht="20.100000000000001" customHeight="1">
      <c r="B11" s="36">
        <v>5</v>
      </c>
      <c r="C11" s="37" t="s">
        <v>178</v>
      </c>
      <c r="D11" s="49" t="s">
        <v>224</v>
      </c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80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225</v>
      </c>
      <c r="E26" s="141"/>
      <c r="F26" s="144" t="s">
        <v>19</v>
      </c>
      <c r="G26" s="145"/>
      <c r="H26" s="62"/>
      <c r="I26" s="62"/>
      <c r="J26" s="148">
        <f>SUM(J10:J25)</f>
        <v>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E0C078-0334-407B-B4D4-79BDB52952EC}">
  <sheetPr codeName="Sheet50">
    <tabColor rgb="FF00B0F0"/>
  </sheetPr>
  <dimension ref="A1:P45"/>
  <sheetViews>
    <sheetView view="pageBreakPreview" zoomScale="90" zoomScaleNormal="100" zoomScaleSheetLayoutView="90" workbookViewId="0">
      <selection activeCell="C10" sqref="C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213</v>
      </c>
      <c r="D3" s="131"/>
      <c r="E3" s="131"/>
      <c r="F3" s="11" t="s">
        <v>4</v>
      </c>
      <c r="G3" s="11"/>
      <c r="H3" s="11"/>
      <c r="I3" s="11"/>
      <c r="J3" s="77">
        <v>41</v>
      </c>
      <c r="O3" s="4"/>
    </row>
    <row r="4" spans="1:16" s="3" customFormat="1" ht="30" customHeight="1">
      <c r="B4" s="12" t="s">
        <v>5</v>
      </c>
      <c r="C4" s="13" t="s">
        <v>214</v>
      </c>
      <c r="D4" s="10"/>
      <c r="E4" s="10"/>
      <c r="F4" s="14" t="s">
        <v>7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18</v>
      </c>
      <c r="C10" s="37" t="s">
        <v>215</v>
      </c>
      <c r="D10" s="49" t="s">
        <v>216</v>
      </c>
      <c r="E10" s="38"/>
      <c r="F10" s="39">
        <v>55</v>
      </c>
      <c r="G10" s="40"/>
      <c r="H10" s="41"/>
      <c r="I10" s="42"/>
      <c r="J10" s="43">
        <f t="shared" ref="J10" si="0">F10*B10</f>
        <v>990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80" t="s">
        <v>217</v>
      </c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>
        <v>2</v>
      </c>
      <c r="C14" s="37" t="s">
        <v>47</v>
      </c>
      <c r="D14" s="49" t="s">
        <v>218</v>
      </c>
      <c r="E14" s="52"/>
      <c r="F14" s="39">
        <v>550</v>
      </c>
      <c r="G14" s="45"/>
      <c r="H14" s="41"/>
      <c r="I14" s="42"/>
      <c r="J14" s="43">
        <f>F14*B14</f>
        <v>1100</v>
      </c>
      <c r="L14" s="23"/>
      <c r="M14" s="5"/>
      <c r="N14" s="4"/>
      <c r="O14" s="4"/>
    </row>
    <row r="15" spans="1:16" s="3" customFormat="1" ht="20.100000000000001" customHeight="1">
      <c r="B15" s="36">
        <v>4</v>
      </c>
      <c r="C15" s="37" t="s">
        <v>47</v>
      </c>
      <c r="D15" s="49" t="s">
        <v>219</v>
      </c>
      <c r="E15" s="38"/>
      <c r="F15" s="39">
        <v>25</v>
      </c>
      <c r="G15" s="45"/>
      <c r="H15" s="41"/>
      <c r="I15" s="42"/>
      <c r="J15" s="43">
        <f t="shared" ref="J15:J16" si="1">F15*B15</f>
        <v>100</v>
      </c>
      <c r="L15" s="23"/>
      <c r="M15" s="5"/>
      <c r="O15" s="4"/>
    </row>
    <row r="16" spans="1:16" s="3" customFormat="1" ht="20.100000000000001" customHeight="1">
      <c r="B16" s="36">
        <v>6</v>
      </c>
      <c r="C16" s="37" t="s">
        <v>47</v>
      </c>
      <c r="D16" s="49" t="s">
        <v>220</v>
      </c>
      <c r="E16" s="52"/>
      <c r="F16" s="54">
        <f>750/6</f>
        <v>125</v>
      </c>
      <c r="G16" s="45"/>
      <c r="H16" s="41"/>
      <c r="I16" s="42"/>
      <c r="J16" s="43">
        <f t="shared" si="1"/>
        <v>750</v>
      </c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2940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E56840-0E1D-4F2D-8969-8446CAD0A830}">
  <sheetPr>
    <tabColor rgb="FF00B0F0"/>
  </sheetPr>
  <dimension ref="A1:Q52"/>
  <sheetViews>
    <sheetView view="pageBreakPreview" zoomScaleNormal="100" zoomScaleSheetLayoutView="100" workbookViewId="0">
      <selection activeCell="J20" sqref="J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7" width="12.42578125" style="5" bestFit="1" customWidth="1"/>
    <col min="18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>
      <c r="P2" s="3"/>
    </row>
    <row r="3" spans="1:17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129</v>
      </c>
      <c r="O3" s="4"/>
      <c r="P3" s="4"/>
    </row>
    <row r="4" spans="1:17" s="3" customFormat="1" ht="30" customHeight="1">
      <c r="B4" s="12" t="s">
        <v>5</v>
      </c>
      <c r="C4" s="13" t="s">
        <v>392</v>
      </c>
      <c r="D4" s="10"/>
      <c r="E4" s="10"/>
      <c r="F4" s="14" t="s">
        <v>7</v>
      </c>
      <c r="G4" s="15"/>
      <c r="H4" s="15"/>
      <c r="I4" s="15"/>
      <c r="J4" s="16">
        <v>45441</v>
      </c>
      <c r="L4" s="17"/>
      <c r="P4" s="4"/>
    </row>
    <row r="5" spans="1:17" s="3" customFormat="1" ht="30" customHeight="1">
      <c r="B5" s="12" t="s">
        <v>8</v>
      </c>
      <c r="C5" s="132" t="s">
        <v>391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O6" s="3">
        <f>8*30</f>
        <v>240</v>
      </c>
      <c r="P6" s="4">
        <f>400*7.3</f>
        <v>2920</v>
      </c>
      <c r="Q6" s="4">
        <f>2700*6</f>
        <v>16200</v>
      </c>
    </row>
    <row r="7" spans="1:17" s="3" customFormat="1" ht="13.5" customHeight="1" thickBot="1">
      <c r="B7" s="23"/>
      <c r="C7" s="24"/>
      <c r="D7" s="24"/>
      <c r="G7" s="25"/>
      <c r="J7" s="26"/>
      <c r="O7" s="3">
        <f>O6-168</f>
        <v>72</v>
      </c>
      <c r="P7" s="4">
        <f>400*6.3</f>
        <v>2520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O9" s="29">
        <f>9*30</f>
        <v>270</v>
      </c>
      <c r="P9" s="35"/>
    </row>
    <row r="10" spans="1:17" s="3" customFormat="1" ht="20.100000000000001" customHeight="1">
      <c r="B10" s="36">
        <v>20</v>
      </c>
      <c r="C10" s="37" t="s">
        <v>16</v>
      </c>
      <c r="D10" s="3" t="s">
        <v>390</v>
      </c>
      <c r="E10" s="38"/>
      <c r="F10" s="39">
        <v>750</v>
      </c>
      <c r="G10" s="40"/>
      <c r="H10" s="41"/>
      <c r="I10" s="42"/>
      <c r="J10" s="43">
        <f>F10*B10</f>
        <v>15000</v>
      </c>
      <c r="K10" s="3">
        <f>19.8+20.4+19.8</f>
        <v>60</v>
      </c>
      <c r="M10" s="5"/>
      <c r="O10" s="4">
        <f>O9-168</f>
        <v>102</v>
      </c>
    </row>
    <row r="11" spans="1:17" s="3" customFormat="1" ht="20.100000000000001" customHeight="1">
      <c r="B11" s="36">
        <v>10</v>
      </c>
      <c r="C11" s="37" t="s">
        <v>16</v>
      </c>
      <c r="D11" s="44" t="s">
        <v>87</v>
      </c>
      <c r="E11" s="38"/>
      <c r="F11" s="39">
        <v>600</v>
      </c>
      <c r="G11" s="45"/>
      <c r="H11" s="41"/>
      <c r="I11" s="42"/>
      <c r="J11" s="43">
        <f t="shared" ref="J11:J12" si="0">F11*B11</f>
        <v>6000</v>
      </c>
      <c r="M11" s="5"/>
      <c r="O11" s="4"/>
    </row>
    <row r="12" spans="1:17" s="3" customFormat="1" ht="20.100000000000001" customHeight="1">
      <c r="B12" s="36">
        <f>29.8+20.2+19.4+20.5+19.5+20.2+20.4</f>
        <v>150</v>
      </c>
      <c r="C12" s="37" t="s">
        <v>16</v>
      </c>
      <c r="D12" s="117" t="s">
        <v>142</v>
      </c>
      <c r="E12" s="47"/>
      <c r="F12" s="39">
        <v>900</v>
      </c>
      <c r="G12" s="45"/>
      <c r="H12" s="41"/>
      <c r="I12" s="42"/>
      <c r="J12" s="43">
        <f t="shared" si="0"/>
        <v>135000</v>
      </c>
      <c r="K12" s="48"/>
      <c r="M12" s="5"/>
      <c r="O12" s="4"/>
    </row>
    <row r="13" spans="1:17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7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7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156000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98A41-B5B0-4360-ABD0-31AC229BD23F}">
  <sheetPr codeName="Sheet51">
    <tabColor rgb="FF00B0F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40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215</v>
      </c>
      <c r="G10" s="40"/>
      <c r="H10" s="41"/>
      <c r="I10" s="42"/>
      <c r="J10" s="43">
        <f t="shared" ref="J10" si="0">F10*B10</f>
        <v>107500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107500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A3C6C-88B9-42E4-A093-7EBA019B24A8}">
  <sheetPr codeName="Sheet52">
    <tabColor rgb="FFC00000"/>
  </sheetPr>
  <dimension ref="A1:P45"/>
  <sheetViews>
    <sheetView view="pageBreakPreview" topLeftCell="B1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39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210</v>
      </c>
      <c r="D4" s="10"/>
      <c r="E4" s="10"/>
      <c r="F4" s="14" t="s">
        <v>7</v>
      </c>
      <c r="G4" s="15"/>
      <c r="H4" s="15"/>
      <c r="I4" s="15"/>
      <c r="J4" s="16">
        <v>45334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211</v>
      </c>
      <c r="E10" s="157"/>
      <c r="F10" s="39"/>
      <c r="G10" s="40"/>
      <c r="H10" s="41"/>
      <c r="I10" s="42"/>
      <c r="J10" s="43">
        <v>1724.1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57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1774.1</v>
      </c>
      <c r="L26" s="99">
        <f>J26-1500</f>
        <v>274.09999999999991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64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0F699-A508-402F-A753-2375B4AE7FA6}">
  <sheetPr codeName="Sheet53">
    <tabColor rgb="FFC00000"/>
  </sheetPr>
  <dimension ref="A1:P45"/>
  <sheetViews>
    <sheetView view="pageBreakPreview" zoomScale="90" zoomScaleNormal="100" zoomScaleSheetLayoutView="90" workbookViewId="0">
      <selection activeCell="D13" sqref="D13: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207</v>
      </c>
      <c r="D3" s="150"/>
      <c r="E3" s="150"/>
      <c r="F3" s="11" t="s">
        <v>4</v>
      </c>
      <c r="G3" s="11"/>
      <c r="H3" s="11"/>
      <c r="I3" s="11"/>
      <c r="J3" s="77">
        <v>38</v>
      </c>
      <c r="O3" s="4"/>
    </row>
    <row r="4" spans="1:16" s="3" customFormat="1" ht="30" customHeight="1">
      <c r="B4" s="12" t="s">
        <v>5</v>
      </c>
      <c r="C4" s="13" t="s">
        <v>209</v>
      </c>
      <c r="D4" s="10"/>
      <c r="E4" s="10"/>
      <c r="F4" s="14" t="s">
        <v>7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1" t="s">
        <v>209</v>
      </c>
      <c r="E10" s="152"/>
      <c r="F10" s="39">
        <f>6605.84+1026</f>
        <v>7631.84</v>
      </c>
      <c r="G10" s="40"/>
      <c r="H10" s="41"/>
      <c r="I10" s="42"/>
      <c r="J10" s="43">
        <f>F10</f>
        <v>7631.84</v>
      </c>
      <c r="L10" s="103">
        <f>F10-7077.44</f>
        <v>554.40000000000055</v>
      </c>
      <c r="N10" s="103">
        <f>7077.44+L10</f>
        <v>7631.84</v>
      </c>
      <c r="P10" s="78"/>
    </row>
    <row r="11" spans="1:16" s="3" customFormat="1" ht="20.100000000000001" customHeight="1">
      <c r="B11" s="36"/>
      <c r="C11" s="37"/>
      <c r="D11" s="44" t="s">
        <v>208</v>
      </c>
      <c r="E11" s="90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151"/>
      <c r="E12" s="152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1"/>
      <c r="E13" s="152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3"/>
      <c r="M17" s="153"/>
      <c r="N17" s="153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3"/>
      <c r="M18" s="153"/>
      <c r="N18" s="153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3"/>
      <c r="M19" s="153"/>
      <c r="N19" s="153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7631.84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2244FD-9E24-43B1-A4E8-B28DEC6F72A0}">
  <sheetPr codeName="Sheet54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37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45330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1" t="s">
        <v>101</v>
      </c>
      <c r="E10" s="152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204</v>
      </c>
      <c r="E11" s="90"/>
      <c r="F11" s="39">
        <v>2000</v>
      </c>
      <c r="G11" s="40"/>
      <c r="H11" s="41"/>
      <c r="I11" s="42"/>
      <c r="J11" s="91">
        <f>F11</f>
        <v>2000</v>
      </c>
      <c r="M11" s="5"/>
      <c r="N11" s="5"/>
      <c r="P11" s="4"/>
    </row>
    <row r="12" spans="1:16" s="3" customFormat="1" ht="20.100000000000001" customHeight="1">
      <c r="B12" s="36"/>
      <c r="C12" s="37"/>
      <c r="D12" s="151" t="s">
        <v>102</v>
      </c>
      <c r="E12" s="152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1" t="s">
        <v>103</v>
      </c>
      <c r="E13" s="152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3"/>
      <c r="M17" s="153"/>
      <c r="N17" s="153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3"/>
      <c r="M18" s="153"/>
      <c r="N18" s="153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3"/>
      <c r="M19" s="153"/>
      <c r="N19" s="153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8D56DC-C95E-4177-8AFB-13DBAB83B0B0}">
  <sheetPr codeName="Sheet5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36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45330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108</v>
      </c>
      <c r="E10" s="157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165" t="s">
        <v>206</v>
      </c>
      <c r="E11" s="157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3BC211-A8B2-4B54-A6B6-9F31542622D3}">
  <sheetPr codeName="Sheet56">
    <tabColor rgb="FFC0000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35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45330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113</v>
      </c>
      <c r="E10" s="157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204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8"/>
      <c r="E26" s="159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60"/>
      <c r="E27" s="161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5" t="s">
        <v>114</v>
      </c>
      <c r="D34" s="155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J26:J27"/>
    <mergeCell ref="C34:D34"/>
    <mergeCell ref="B1:F1"/>
    <mergeCell ref="G1:J1"/>
    <mergeCell ref="C3:E3"/>
    <mergeCell ref="D9:E9"/>
    <mergeCell ref="F9:H9"/>
    <mergeCell ref="D10:E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AFAB8-802F-4018-A04D-0B21A4B3A4FD}">
  <sheetPr codeName="Sheet57">
    <tabColor rgb="FF00B0F0"/>
  </sheetPr>
  <dimension ref="A1:P45"/>
  <sheetViews>
    <sheetView view="pageBreakPreview" zoomScaleNormal="100" zoomScaleSheetLayoutView="10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34</v>
      </c>
      <c r="O3" s="4"/>
    </row>
    <row r="4" spans="1:16" s="3" customFormat="1" ht="30" customHeight="1">
      <c r="B4" s="12" t="s">
        <v>5</v>
      </c>
      <c r="C4" s="13" t="s">
        <v>170</v>
      </c>
      <c r="D4" s="10"/>
      <c r="E4" s="10"/>
      <c r="F4" s="14" t="s">
        <v>7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2" t="s">
        <v>8</v>
      </c>
      <c r="C5" s="132" t="s">
        <v>203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800</v>
      </c>
      <c r="C10" s="37" t="s">
        <v>93</v>
      </c>
      <c r="D10" s="49" t="s">
        <v>155</v>
      </c>
      <c r="E10" s="38"/>
      <c r="F10" s="39">
        <v>215</v>
      </c>
      <c r="G10" s="40"/>
      <c r="H10" s="41"/>
      <c r="I10" s="42"/>
      <c r="J10" s="43">
        <f t="shared" ref="J10" si="0">F10*B10</f>
        <v>172000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172000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C77ECE-9F2B-4A25-B1E7-1B9C96F69AAC}">
  <sheetPr codeName="Sheet58">
    <tabColor rgb="FF00B0F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197</v>
      </c>
      <c r="D3" s="131"/>
      <c r="E3" s="131"/>
      <c r="F3" s="11" t="s">
        <v>4</v>
      </c>
      <c r="G3" s="11"/>
      <c r="H3" s="11"/>
      <c r="I3" s="11"/>
      <c r="J3" s="77">
        <v>33</v>
      </c>
      <c r="O3" s="4"/>
    </row>
    <row r="4" spans="1:16" s="3" customFormat="1" ht="30" customHeight="1">
      <c r="B4" s="12" t="s">
        <v>5</v>
      </c>
      <c r="C4" s="13" t="s">
        <v>201</v>
      </c>
      <c r="D4" s="10"/>
      <c r="E4" s="10"/>
      <c r="F4" s="14" t="s">
        <v>7</v>
      </c>
      <c r="G4" s="15"/>
      <c r="H4" s="15"/>
      <c r="I4" s="15"/>
      <c r="J4" s="16">
        <v>45327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97</v>
      </c>
      <c r="D10" s="49" t="s">
        <v>198</v>
      </c>
      <c r="E10" s="38"/>
      <c r="F10" s="39">
        <v>7000</v>
      </c>
      <c r="G10" s="40"/>
      <c r="H10" s="41"/>
      <c r="I10" s="42"/>
      <c r="J10" s="43">
        <f t="shared" ref="J10:J12" si="0">F10*B10</f>
        <v>7000</v>
      </c>
      <c r="L10" s="23">
        <f>180+194+35</f>
        <v>409</v>
      </c>
      <c r="M10" s="5"/>
      <c r="N10" s="5"/>
      <c r="P10" s="4"/>
    </row>
    <row r="11" spans="1:16" s="3" customFormat="1" ht="20.100000000000001" customHeight="1">
      <c r="B11" s="36">
        <v>1</v>
      </c>
      <c r="C11" s="37" t="s">
        <v>97</v>
      </c>
      <c r="D11" s="49" t="s">
        <v>199</v>
      </c>
      <c r="E11" s="38"/>
      <c r="F11" s="39">
        <v>4200</v>
      </c>
      <c r="G11" s="45"/>
      <c r="H11" s="41"/>
      <c r="I11" s="42"/>
      <c r="J11" s="43">
        <f t="shared" si="0"/>
        <v>4200</v>
      </c>
      <c r="L11" s="23"/>
      <c r="M11" s="5">
        <f>207/2</f>
        <v>103.5</v>
      </c>
      <c r="O11" s="102"/>
      <c r="P11" s="81"/>
    </row>
    <row r="12" spans="1:16" s="3" customFormat="1" ht="20.100000000000001" customHeight="1">
      <c r="B12" s="36">
        <v>1</v>
      </c>
      <c r="C12" s="37" t="s">
        <v>97</v>
      </c>
      <c r="D12" s="49" t="s">
        <v>200</v>
      </c>
      <c r="E12" s="47"/>
      <c r="F12" s="39">
        <v>560</v>
      </c>
      <c r="G12" s="45"/>
      <c r="H12" s="41"/>
      <c r="I12" s="42"/>
      <c r="J12" s="43">
        <f t="shared" si="0"/>
        <v>560</v>
      </c>
      <c r="L12" s="23"/>
      <c r="M12" s="5">
        <f>239/2</f>
        <v>119.5</v>
      </c>
      <c r="N12" s="4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52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53"/>
      <c r="F16" s="56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2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11760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F7AA12-8554-4E86-BB82-BE8C23370069}">
  <sheetPr codeName="Sheet59">
    <tabColor rgb="FF00B0F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197</v>
      </c>
      <c r="D3" s="131"/>
      <c r="E3" s="131"/>
      <c r="F3" s="11" t="s">
        <v>4</v>
      </c>
      <c r="G3" s="11"/>
      <c r="H3" s="11"/>
      <c r="I3" s="11"/>
      <c r="J3" s="77">
        <v>32</v>
      </c>
      <c r="O3" s="4"/>
    </row>
    <row r="4" spans="1:16" s="3" customFormat="1" ht="30" customHeight="1">
      <c r="B4" s="12" t="s">
        <v>5</v>
      </c>
      <c r="C4" s="13" t="s">
        <v>229</v>
      </c>
      <c r="D4" s="10"/>
      <c r="E4" s="10"/>
      <c r="F4" s="14" t="s">
        <v>7</v>
      </c>
      <c r="G4" s="15"/>
      <c r="H4" s="15"/>
      <c r="I4" s="15"/>
      <c r="J4" s="16">
        <v>45338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</v>
      </c>
      <c r="C10" s="37" t="s">
        <v>191</v>
      </c>
      <c r="D10" s="49" t="s">
        <v>202</v>
      </c>
      <c r="E10" s="38"/>
      <c r="F10" s="39">
        <v>230</v>
      </c>
      <c r="G10" s="40"/>
      <c r="H10" s="41"/>
      <c r="I10" s="42"/>
      <c r="J10" s="43">
        <f t="shared" ref="J10:J16" si="0">F10*B10</f>
        <v>460</v>
      </c>
      <c r="L10" s="23"/>
      <c r="M10" s="5"/>
      <c r="N10" s="5"/>
      <c r="P10" s="4"/>
    </row>
    <row r="11" spans="1:16" s="3" customFormat="1" ht="20.100000000000001" customHeight="1">
      <c r="B11" s="36">
        <v>4</v>
      </c>
      <c r="C11" s="37" t="s">
        <v>191</v>
      </c>
      <c r="D11" s="49" t="s">
        <v>192</v>
      </c>
      <c r="E11" s="38"/>
      <c r="F11" s="39">
        <v>210</v>
      </c>
      <c r="G11" s="45"/>
      <c r="H11" s="41"/>
      <c r="I11" s="42"/>
      <c r="J11" s="43">
        <f t="shared" si="0"/>
        <v>840</v>
      </c>
      <c r="L11" s="23"/>
      <c r="M11" s="5"/>
      <c r="O11" s="102"/>
      <c r="P11" s="81"/>
    </row>
    <row r="12" spans="1:16" s="3" customFormat="1" ht="20.100000000000001" customHeight="1">
      <c r="B12" s="36">
        <v>1</v>
      </c>
      <c r="C12" s="37" t="s">
        <v>47</v>
      </c>
      <c r="D12" s="49" t="s">
        <v>227</v>
      </c>
      <c r="E12" s="47"/>
      <c r="F12" s="39">
        <v>43</v>
      </c>
      <c r="G12" s="45"/>
      <c r="H12" s="41"/>
      <c r="I12" s="42"/>
      <c r="J12" s="43">
        <f t="shared" si="0"/>
        <v>43</v>
      </c>
      <c r="L12" s="23"/>
      <c r="M12" s="5"/>
      <c r="N12" s="4"/>
      <c r="O12" s="4"/>
    </row>
    <row r="13" spans="1:16" s="3" customFormat="1" ht="20.100000000000001" customHeight="1">
      <c r="B13" s="36">
        <v>10</v>
      </c>
      <c r="C13" s="37" t="s">
        <v>47</v>
      </c>
      <c r="D13" s="49" t="s">
        <v>193</v>
      </c>
      <c r="E13" s="50"/>
      <c r="F13" s="39">
        <v>3</v>
      </c>
      <c r="G13" s="45"/>
      <c r="H13" s="41"/>
      <c r="I13" s="42"/>
      <c r="J13" s="43">
        <f t="shared" si="0"/>
        <v>30</v>
      </c>
      <c r="L13" s="82"/>
      <c r="M13" s="5"/>
      <c r="O13" s="4"/>
    </row>
    <row r="14" spans="1:16" s="3" customFormat="1" ht="20.100000000000001" customHeight="1">
      <c r="B14" s="36">
        <v>10</v>
      </c>
      <c r="C14" s="37" t="s">
        <v>47</v>
      </c>
      <c r="D14" s="49" t="s">
        <v>194</v>
      </c>
      <c r="E14" s="38"/>
      <c r="F14" s="39">
        <v>6</v>
      </c>
      <c r="G14" s="45"/>
      <c r="H14" s="41"/>
      <c r="I14" s="42"/>
      <c r="J14" s="43">
        <f t="shared" si="0"/>
        <v>60</v>
      </c>
      <c r="L14" s="23"/>
      <c r="M14" s="5"/>
      <c r="N14" s="4"/>
      <c r="O14" s="4"/>
    </row>
    <row r="15" spans="1:16" s="3" customFormat="1" ht="20.100000000000001" customHeight="1">
      <c r="B15" s="36">
        <v>10</v>
      </c>
      <c r="C15" s="37" t="s">
        <v>47</v>
      </c>
      <c r="D15" s="49" t="s">
        <v>195</v>
      </c>
      <c r="E15" s="52"/>
      <c r="F15" s="39">
        <v>12.8</v>
      </c>
      <c r="G15" s="45"/>
      <c r="H15" s="41"/>
      <c r="I15" s="42"/>
      <c r="J15" s="43">
        <f t="shared" si="0"/>
        <v>128</v>
      </c>
      <c r="L15" s="23"/>
      <c r="M15" s="5"/>
      <c r="O15" s="4"/>
    </row>
    <row r="16" spans="1:16" s="3" customFormat="1" ht="20.100000000000001" customHeight="1">
      <c r="B16" s="36">
        <v>2</v>
      </c>
      <c r="C16" s="37" t="s">
        <v>47</v>
      </c>
      <c r="D16" s="49" t="s">
        <v>196</v>
      </c>
      <c r="E16" s="53"/>
      <c r="F16" s="56">
        <v>145</v>
      </c>
      <c r="G16" s="45"/>
      <c r="H16" s="41"/>
      <c r="I16" s="42"/>
      <c r="J16" s="43">
        <f t="shared" si="0"/>
        <v>290</v>
      </c>
      <c r="M16" s="5"/>
      <c r="N16" s="55"/>
      <c r="O16" s="4"/>
    </row>
    <row r="17" spans="2:16" s="3" customFormat="1" ht="20.100000000000001" customHeight="1">
      <c r="B17" s="36">
        <v>5</v>
      </c>
      <c r="C17" s="37" t="s">
        <v>47</v>
      </c>
      <c r="D17" s="49" t="s">
        <v>228</v>
      </c>
      <c r="E17" s="50"/>
      <c r="F17" s="56">
        <v>25</v>
      </c>
      <c r="G17" s="45"/>
      <c r="H17" s="41"/>
      <c r="I17" s="42"/>
      <c r="J17" s="43">
        <f t="shared" ref="J17" si="1">F17*B17</f>
        <v>125</v>
      </c>
      <c r="M17" s="5"/>
      <c r="N17" s="55"/>
      <c r="O17" s="4"/>
    </row>
    <row r="18" spans="2:16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1976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7C8431-6224-44B2-86E5-E76EBAD9495A}">
  <sheetPr codeName="Sheet60">
    <tabColor rgb="FF0070C0"/>
  </sheetPr>
  <dimension ref="A1:P52"/>
  <sheetViews>
    <sheetView view="pageBreakPreview" zoomScale="80" zoomScaleNormal="100" zoomScaleSheetLayoutView="80" workbookViewId="0">
      <selection activeCell="B10" sqref="B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31</v>
      </c>
      <c r="O3" s="4"/>
      <c r="P3" s="4"/>
    </row>
    <row r="4" spans="1:16" s="3" customFormat="1" ht="30" customHeight="1">
      <c r="B4" s="12" t="s">
        <v>5</v>
      </c>
      <c r="C4" s="13" t="s">
        <v>190</v>
      </c>
      <c r="D4" s="10"/>
      <c r="E4" s="10"/>
      <c r="F4" s="14" t="s">
        <v>7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2" t="s">
        <v>8</v>
      </c>
      <c r="C5" s="132" t="s">
        <v>9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f>20.4+20.2+19.8+19.6+20.4+19.6+20.2+19.8</f>
        <v>160</v>
      </c>
      <c r="C10" s="37" t="s">
        <v>16</v>
      </c>
      <c r="D10" s="3" t="s">
        <v>142</v>
      </c>
      <c r="E10" s="38"/>
      <c r="F10" s="39">
        <v>900</v>
      </c>
      <c r="G10" s="40"/>
      <c r="H10" s="41"/>
      <c r="I10" s="42"/>
      <c r="J10" s="43">
        <f>F10*B10</f>
        <v>144000</v>
      </c>
      <c r="M10" s="5"/>
      <c r="O10" s="4"/>
    </row>
    <row r="11" spans="1:16" s="3" customFormat="1" ht="20.100000000000001" customHeight="1">
      <c r="B11" s="36"/>
      <c r="C11" s="37"/>
      <c r="D11" s="44"/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144000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M37" s="5">
        <f>336.77-97.5</f>
        <v>239.26999999999998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78FFA-2908-4F7E-8B49-5E671406719D}">
  <sheetPr>
    <tabColor rgb="FF0070C0"/>
  </sheetPr>
  <dimension ref="A1:Q52"/>
  <sheetViews>
    <sheetView view="pageBreakPreview" zoomScale="80" zoomScaleNormal="100" zoomScaleSheetLayoutView="80" workbookViewId="0">
      <selection activeCell="D15" sqref="D1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7" width="12.42578125" style="5" bestFit="1" customWidth="1"/>
    <col min="18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>
      <c r="P2" s="3"/>
    </row>
    <row r="3" spans="1:17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128</v>
      </c>
      <c r="O3" s="4"/>
      <c r="P3" s="4"/>
    </row>
    <row r="4" spans="1:17" s="3" customFormat="1" ht="30" customHeight="1">
      <c r="B4" s="12" t="s">
        <v>5</v>
      </c>
      <c r="C4" s="13" t="s">
        <v>389</v>
      </c>
      <c r="D4" s="10"/>
      <c r="E4" s="10"/>
      <c r="F4" s="14" t="s">
        <v>7</v>
      </c>
      <c r="G4" s="15"/>
      <c r="H4" s="15"/>
      <c r="I4" s="15"/>
      <c r="J4" s="16">
        <v>45441</v>
      </c>
      <c r="L4" s="17"/>
      <c r="P4" s="4"/>
    </row>
    <row r="5" spans="1:17" s="3" customFormat="1" ht="30" customHeight="1">
      <c r="B5" s="12" t="s">
        <v>8</v>
      </c>
      <c r="C5" s="132" t="s">
        <v>391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400*7.3</f>
        <v>2920</v>
      </c>
      <c r="Q6" s="4">
        <f>2700*6</f>
        <v>16200</v>
      </c>
    </row>
    <row r="7" spans="1:17" s="3" customFormat="1" ht="13.5" customHeight="1" thickBot="1">
      <c r="B7" s="23"/>
      <c r="C7" s="24"/>
      <c r="D7" s="24"/>
      <c r="G7" s="25"/>
      <c r="J7" s="26"/>
      <c r="P7" s="4">
        <f>400*6.3</f>
        <v>2520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7" s="3" customFormat="1" ht="20.100000000000001" customHeight="1">
      <c r="B10" s="36">
        <v>60</v>
      </c>
      <c r="C10" s="37" t="s">
        <v>16</v>
      </c>
      <c r="D10" s="3" t="s">
        <v>390</v>
      </c>
      <c r="E10" s="38"/>
      <c r="F10" s="39">
        <v>750</v>
      </c>
      <c r="G10" s="40"/>
      <c r="H10" s="41"/>
      <c r="I10" s="42"/>
      <c r="J10" s="43">
        <f>F10*B10</f>
        <v>45000</v>
      </c>
      <c r="K10" s="3">
        <f>19.8+20.4+19.8</f>
        <v>60</v>
      </c>
      <c r="M10" s="5"/>
      <c r="O10" s="4"/>
    </row>
    <row r="11" spans="1:17" s="3" customFormat="1" ht="20.100000000000001" customHeight="1">
      <c r="B11" s="36"/>
      <c r="C11" s="37"/>
      <c r="D11" s="44"/>
      <c r="E11" s="38"/>
      <c r="F11" s="39"/>
      <c r="G11" s="45"/>
      <c r="H11" s="41"/>
      <c r="I11" s="42"/>
      <c r="J11" s="43"/>
      <c r="M11" s="5"/>
      <c r="O11" s="4"/>
    </row>
    <row r="12" spans="1:17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7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7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7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45000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C70F20-9890-4B69-B019-8F5E8D6ABA27}">
  <sheetPr codeName="Sheet61">
    <tabColor rgb="FF00B0F0"/>
  </sheetPr>
  <dimension ref="A1:P45"/>
  <sheetViews>
    <sheetView view="pageBreakPreview" zoomScaleNormal="100" zoomScaleSheetLayoutView="100" workbookViewId="0">
      <selection activeCell="D26" sqref="D26:E2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30</v>
      </c>
      <c r="O3" s="4"/>
    </row>
    <row r="4" spans="1:16" s="3" customFormat="1" ht="30" customHeight="1">
      <c r="B4" s="12" t="s">
        <v>5</v>
      </c>
      <c r="C4" s="13" t="s">
        <v>187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178</v>
      </c>
      <c r="D10" s="49" t="s">
        <v>186</v>
      </c>
      <c r="E10" s="38"/>
      <c r="F10" s="39">
        <v>5500</v>
      </c>
      <c r="G10" s="40"/>
      <c r="H10" s="41"/>
      <c r="I10" s="42"/>
      <c r="J10" s="43">
        <f>F10*B10</f>
        <v>5500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100"/>
      <c r="G11" s="101"/>
      <c r="H11" s="41"/>
      <c r="I11" s="42"/>
      <c r="J11" s="43"/>
      <c r="L11" s="23"/>
      <c r="M11" s="5"/>
      <c r="O11" s="102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188</v>
      </c>
      <c r="E26" s="141"/>
      <c r="F26" s="144" t="s">
        <v>19</v>
      </c>
      <c r="G26" s="145"/>
      <c r="H26" s="62"/>
      <c r="I26" s="62"/>
      <c r="J26" s="148">
        <f>SUM(J10:J25)</f>
        <v>5500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645F9-47A8-454F-B7A2-BB73B373AC56}">
  <sheetPr codeName="Sheet62">
    <tabColor rgb="FF00B0F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29</v>
      </c>
      <c r="O3" s="4"/>
    </row>
    <row r="4" spans="1:16" s="3" customFormat="1" ht="30" customHeight="1">
      <c r="B4" s="12" t="s">
        <v>5</v>
      </c>
      <c r="C4" s="13" t="s">
        <v>187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178</v>
      </c>
      <c r="D10" s="49" t="s">
        <v>186</v>
      </c>
      <c r="E10" s="38"/>
      <c r="F10" s="39">
        <v>5500</v>
      </c>
      <c r="G10" s="40"/>
      <c r="H10" s="41"/>
      <c r="I10" s="42"/>
      <c r="J10" s="43">
        <f>F10*B10</f>
        <v>5500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100"/>
      <c r="G11" s="101"/>
      <c r="H11" s="41"/>
      <c r="I11" s="42"/>
      <c r="J11" s="43"/>
      <c r="L11" s="23"/>
      <c r="M11" s="5"/>
      <c r="O11" s="102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188</v>
      </c>
      <c r="E26" s="141"/>
      <c r="F26" s="144" t="s">
        <v>19</v>
      </c>
      <c r="G26" s="145"/>
      <c r="H26" s="62"/>
      <c r="I26" s="62"/>
      <c r="J26" s="148">
        <f>SUM(J10:J25)</f>
        <v>5500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DAFA71-8FCD-4E32-9269-187218BBAA67}">
  <sheetPr codeName="Sheet63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8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4"/>
      <c r="O1" s="4"/>
    </row>
    <row r="2" spans="1:16" ht="15" thickTop="1"/>
    <row r="3" spans="1:16" s="3" customFormat="1" ht="30" customHeight="1">
      <c r="B3" s="9" t="s">
        <v>2</v>
      </c>
      <c r="C3" s="154" t="s">
        <v>49</v>
      </c>
      <c r="D3" s="154"/>
      <c r="E3" s="154"/>
      <c r="F3" s="11" t="s">
        <v>4</v>
      </c>
      <c r="G3" s="11"/>
      <c r="H3" s="11"/>
      <c r="I3" s="11"/>
      <c r="J3" s="77">
        <v>28</v>
      </c>
      <c r="N3" s="4"/>
      <c r="O3" s="4"/>
    </row>
    <row r="4" spans="1:16" s="3" customFormat="1" ht="30" customHeight="1">
      <c r="B4" s="12" t="s">
        <v>5</v>
      </c>
      <c r="C4" s="13" t="s">
        <v>181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N4" s="4">
        <v>51550</v>
      </c>
      <c r="P4" s="4"/>
    </row>
    <row r="5" spans="1:16" s="3" customFormat="1" ht="30" customHeight="1">
      <c r="B5" s="12" t="s">
        <v>8</v>
      </c>
      <c r="C5" s="132" t="s">
        <v>182</v>
      </c>
      <c r="D5" s="132"/>
      <c r="E5" s="132"/>
      <c r="F5" s="15" t="s">
        <v>10</v>
      </c>
      <c r="G5" s="15"/>
      <c r="H5" s="15"/>
      <c r="I5" s="15"/>
      <c r="J5" s="16"/>
      <c r="N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N6" s="4"/>
      <c r="P6" s="4"/>
    </row>
    <row r="7" spans="1:16" s="3" customFormat="1" ht="13.5" customHeight="1" thickBot="1">
      <c r="B7" s="23"/>
      <c r="C7" s="24"/>
      <c r="D7" s="24"/>
      <c r="G7" s="25"/>
      <c r="J7" s="26"/>
      <c r="N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N9" s="35"/>
      <c r="P9" s="35"/>
    </row>
    <row r="10" spans="1:16" s="24" customFormat="1" ht="20.100000000000001" customHeight="1">
      <c r="B10" s="36">
        <v>1</v>
      </c>
      <c r="C10" s="37" t="s">
        <v>50</v>
      </c>
      <c r="D10" s="49" t="s">
        <v>183</v>
      </c>
      <c r="E10" s="38"/>
      <c r="F10" s="39">
        <v>5000</v>
      </c>
      <c r="G10" s="40"/>
      <c r="H10" s="41"/>
      <c r="I10" s="42"/>
      <c r="J10" s="43">
        <f>F10*B10</f>
        <v>5000</v>
      </c>
      <c r="L10" s="23"/>
      <c r="N10" s="78"/>
      <c r="P10" s="78"/>
    </row>
    <row r="11" spans="1:16" s="3" customFormat="1" ht="20.100000000000001" customHeight="1">
      <c r="B11" s="36">
        <v>1</v>
      </c>
      <c r="C11" s="37" t="s">
        <v>50</v>
      </c>
      <c r="D11" s="49" t="s">
        <v>184</v>
      </c>
      <c r="E11" s="38"/>
      <c r="F11" s="39">
        <v>5000</v>
      </c>
      <c r="G11" s="40"/>
      <c r="H11" s="41"/>
      <c r="I11" s="42"/>
      <c r="J11" s="43">
        <f t="shared" ref="J11:J12" si="0">F11*B11</f>
        <v>5000</v>
      </c>
      <c r="L11" s="23"/>
      <c r="M11" s="5"/>
      <c r="N11" s="8"/>
      <c r="P11" s="4"/>
    </row>
    <row r="12" spans="1:16" s="3" customFormat="1" ht="20.100000000000001" customHeight="1">
      <c r="B12" s="36">
        <v>1</v>
      </c>
      <c r="C12" s="37" t="s">
        <v>50</v>
      </c>
      <c r="D12" s="49" t="s">
        <v>185</v>
      </c>
      <c r="E12" s="38"/>
      <c r="F12" s="39">
        <v>5000</v>
      </c>
      <c r="G12" s="40"/>
      <c r="H12" s="41"/>
      <c r="I12" s="42"/>
      <c r="J12" s="43">
        <f t="shared" si="0"/>
        <v>5000</v>
      </c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23"/>
      <c r="M13" s="5"/>
      <c r="N13" s="4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L15" s="23"/>
      <c r="M15" s="5"/>
      <c r="N15" s="4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23"/>
      <c r="M16" s="5"/>
      <c r="N16" s="4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39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39"/>
      <c r="G21" s="45"/>
      <c r="H21" s="41"/>
      <c r="I21" s="42"/>
      <c r="J21" s="43"/>
      <c r="M21" s="5"/>
      <c r="N21" s="4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N22" s="4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4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N24" s="4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N25" s="4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15000</v>
      </c>
      <c r="M26" s="63"/>
      <c r="N26" s="4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N27" s="4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07C67-6C5B-463D-B42F-E94CDD88D35C}">
  <sheetPr codeName="Sheet64">
    <tabColor rgb="FF00B0F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173</v>
      </c>
      <c r="D3" s="131"/>
      <c r="E3" s="131"/>
      <c r="F3" s="11" t="s">
        <v>4</v>
      </c>
      <c r="G3" s="11"/>
      <c r="H3" s="11"/>
      <c r="I3" s="11"/>
      <c r="J3" s="77">
        <v>27</v>
      </c>
      <c r="O3" s="4"/>
    </row>
    <row r="4" spans="1:16" s="3" customFormat="1" ht="30" customHeight="1">
      <c r="B4" s="12" t="s">
        <v>5</v>
      </c>
      <c r="C4" s="13" t="s">
        <v>180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</v>
      </c>
      <c r="C10" s="37" t="s">
        <v>178</v>
      </c>
      <c r="D10" s="49" t="s">
        <v>179</v>
      </c>
      <c r="E10" s="38"/>
      <c r="F10" s="39">
        <v>550</v>
      </c>
      <c r="G10" s="40"/>
      <c r="H10" s="41"/>
      <c r="I10" s="42"/>
      <c r="J10" s="43">
        <f>F10*B10</f>
        <v>1100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100"/>
      <c r="G11" s="101"/>
      <c r="H11" s="41"/>
      <c r="I11" s="42"/>
      <c r="J11" s="43"/>
      <c r="L11" s="23"/>
      <c r="M11" s="5"/>
      <c r="O11" s="102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1100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38E73-DDC2-4EDB-9BA5-293F843C45A0}">
  <sheetPr codeName="Sheet65">
    <tabColor rgb="FFC0000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119</v>
      </c>
      <c r="D3" s="150"/>
      <c r="E3" s="150"/>
      <c r="F3" s="11" t="s">
        <v>4</v>
      </c>
      <c r="G3" s="11"/>
      <c r="H3" s="11"/>
      <c r="I3" s="11"/>
      <c r="J3" s="77">
        <v>26</v>
      </c>
      <c r="O3" s="4"/>
    </row>
    <row r="4" spans="1:16" s="3" customFormat="1" ht="30" customHeight="1">
      <c r="B4" s="12" t="s">
        <v>5</v>
      </c>
      <c r="C4" s="13" t="s">
        <v>174</v>
      </c>
      <c r="D4" s="10"/>
      <c r="E4" s="10"/>
      <c r="F4" s="14" t="s">
        <v>7</v>
      </c>
      <c r="G4" s="15"/>
      <c r="H4" s="15"/>
      <c r="I4" s="15"/>
      <c r="J4" s="16">
        <v>45315</v>
      </c>
      <c r="L4" s="17"/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175</v>
      </c>
      <c r="E10" s="157"/>
      <c r="F10" s="39">
        <f>1551.9-500</f>
        <v>1051.9000000000001</v>
      </c>
      <c r="G10" s="40"/>
      <c r="H10" s="41"/>
      <c r="I10" s="42"/>
      <c r="J10" s="43">
        <f>F10</f>
        <v>1051.9000000000001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56" t="s">
        <v>176</v>
      </c>
      <c r="E12" s="15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56" t="s">
        <v>177</v>
      </c>
      <c r="E13" s="157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156" t="s">
        <v>131</v>
      </c>
      <c r="E14" s="157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56" t="s">
        <v>132</v>
      </c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135</v>
      </c>
      <c r="E26" s="141"/>
      <c r="F26" s="144" t="s">
        <v>19</v>
      </c>
      <c r="G26" s="145"/>
      <c r="H26" s="62"/>
      <c r="I26" s="62"/>
      <c r="J26" s="148">
        <f>SUM(J10:J25)</f>
        <v>1051.9000000000001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9">
    <mergeCell ref="B42:C42"/>
    <mergeCell ref="D23:E23"/>
    <mergeCell ref="B26:B27"/>
    <mergeCell ref="C26:C27"/>
    <mergeCell ref="D26:E27"/>
    <mergeCell ref="F26:G27"/>
    <mergeCell ref="J26:J27"/>
    <mergeCell ref="D10:E10"/>
    <mergeCell ref="D12:E12"/>
    <mergeCell ref="D13:E13"/>
    <mergeCell ref="D14:E14"/>
    <mergeCell ref="D15:E15"/>
    <mergeCell ref="D22:E22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6CE8F-6255-44D1-8658-08953A16E14D}">
  <sheetPr codeName="Sheet66">
    <tabColor rgb="FF00B0F0"/>
  </sheetPr>
  <dimension ref="A1:P45"/>
  <sheetViews>
    <sheetView view="pageBreakPreview" zoomScaleNormal="100" zoomScaleSheetLayoutView="100" workbookViewId="0">
      <selection activeCell="J12" sqref="J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173</v>
      </c>
      <c r="D3" s="131"/>
      <c r="E3" s="131"/>
      <c r="F3" s="11" t="s">
        <v>4</v>
      </c>
      <c r="G3" s="11"/>
      <c r="H3" s="11"/>
      <c r="I3" s="11"/>
      <c r="J3" s="77">
        <v>25</v>
      </c>
      <c r="O3" s="4"/>
    </row>
    <row r="4" spans="1:16" s="3" customFormat="1" ht="30" customHeight="1">
      <c r="B4" s="12" t="s">
        <v>5</v>
      </c>
      <c r="C4" s="13" t="s">
        <v>180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</v>
      </c>
      <c r="C10" s="37" t="s">
        <v>178</v>
      </c>
      <c r="D10" s="49" t="s">
        <v>179</v>
      </c>
      <c r="E10" s="38"/>
      <c r="F10" s="39">
        <v>550</v>
      </c>
      <c r="G10" s="40"/>
      <c r="H10" s="41"/>
      <c r="I10" s="42"/>
      <c r="J10" s="43">
        <f>F10*B10</f>
        <v>1100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100"/>
      <c r="G11" s="101"/>
      <c r="H11" s="41"/>
      <c r="I11" s="42"/>
      <c r="J11" s="43">
        <f>J10*2</f>
        <v>2200</v>
      </c>
      <c r="L11" s="23"/>
      <c r="M11" s="5"/>
      <c r="O11" s="102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3300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A30330-F6DB-42BC-8C94-A9808BA144B1}">
  <sheetPr codeName="Sheet67">
    <tabColor rgb="FF00B0F0"/>
  </sheetPr>
  <dimension ref="A1:P45"/>
  <sheetViews>
    <sheetView view="pageBreakPreview" zoomScaleNormal="100" zoomScaleSheetLayoutView="10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172</v>
      </c>
      <c r="D3" s="131"/>
      <c r="E3" s="131"/>
      <c r="F3" s="11" t="s">
        <v>4</v>
      </c>
      <c r="G3" s="11"/>
      <c r="H3" s="11"/>
      <c r="I3" s="11"/>
      <c r="J3" s="77">
        <v>24</v>
      </c>
      <c r="O3" s="4"/>
    </row>
    <row r="4" spans="1:16" s="3" customFormat="1" ht="30" customHeight="1">
      <c r="B4" s="12" t="s">
        <v>5</v>
      </c>
      <c r="C4" s="13" t="s">
        <v>150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240</v>
      </c>
      <c r="C10" s="37" t="s">
        <v>151</v>
      </c>
      <c r="D10" s="49" t="s">
        <v>152</v>
      </c>
      <c r="E10" s="38"/>
      <c r="F10" s="39">
        <v>20</v>
      </c>
      <c r="G10" s="40"/>
      <c r="H10" s="41"/>
      <c r="I10" s="42"/>
      <c r="J10" s="43">
        <f t="shared" ref="J10" si="0">F10*B10</f>
        <v>4800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4800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78BFB8-56B7-4402-AE14-2AE5DCEE01F9}">
  <sheetPr codeName="Sheet68">
    <tabColor rgb="FF00B0F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172</v>
      </c>
      <c r="D3" s="131"/>
      <c r="E3" s="131"/>
      <c r="F3" s="11" t="s">
        <v>4</v>
      </c>
      <c r="G3" s="11"/>
      <c r="H3" s="11"/>
      <c r="I3" s="11"/>
      <c r="J3" s="77">
        <v>23</v>
      </c>
      <c r="O3" s="4"/>
    </row>
    <row r="4" spans="1:16" s="3" customFormat="1" ht="30" customHeight="1">
      <c r="B4" s="12" t="s">
        <v>5</v>
      </c>
      <c r="C4" s="13" t="s">
        <v>150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171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240</v>
      </c>
      <c r="C10" s="37" t="s">
        <v>151</v>
      </c>
      <c r="D10" s="49" t="s">
        <v>152</v>
      </c>
      <c r="E10" s="38"/>
      <c r="F10" s="39">
        <v>20</v>
      </c>
      <c r="G10" s="40"/>
      <c r="H10" s="41"/>
      <c r="I10" s="42"/>
      <c r="J10" s="43">
        <f t="shared" ref="J10" si="0">F10*B10</f>
        <v>4800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4800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EC3C-2A08-4229-92B5-E161C8C92C2D}">
  <sheetPr codeName="Sheet69">
    <tabColor rgb="FF00B0F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22</v>
      </c>
      <c r="O3" s="4"/>
    </row>
    <row r="4" spans="1:16" s="3" customFormat="1" ht="30" customHeight="1">
      <c r="B4" s="12" t="s">
        <v>5</v>
      </c>
      <c r="C4" s="13" t="s">
        <v>170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171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215</v>
      </c>
      <c r="G10" s="40"/>
      <c r="H10" s="41"/>
      <c r="I10" s="42"/>
      <c r="J10" s="43">
        <f t="shared" ref="J10" si="0">F10*B10</f>
        <v>107500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107500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CD29F7-F75B-405F-AE3F-A94AA37EEFCD}">
  <sheetPr codeName="Sheet70">
    <tabColor rgb="FFC00000"/>
  </sheetPr>
  <dimension ref="A1:P45"/>
  <sheetViews>
    <sheetView view="pageBreakPreview" topLeftCell="A4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/>
      <c r="D3" s="150"/>
      <c r="E3" s="150"/>
      <c r="F3" s="11" t="s">
        <v>4</v>
      </c>
      <c r="G3" s="11"/>
      <c r="H3" s="11"/>
      <c r="I3" s="11"/>
      <c r="J3" s="77">
        <v>21</v>
      </c>
      <c r="O3" s="4"/>
    </row>
    <row r="4" spans="1:16" s="3" customFormat="1" ht="30" customHeight="1">
      <c r="B4" s="12" t="s">
        <v>5</v>
      </c>
      <c r="C4" s="13" t="s">
        <v>166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167</v>
      </c>
      <c r="E10" s="157"/>
      <c r="F10" s="39"/>
      <c r="G10" s="40"/>
      <c r="H10" s="41"/>
      <c r="I10" s="42"/>
      <c r="J10" s="43">
        <v>2500</v>
      </c>
      <c r="P10" s="78"/>
    </row>
    <row r="11" spans="1:16" s="3" customFormat="1" ht="20.100000000000001" customHeight="1">
      <c r="B11" s="36"/>
      <c r="C11" s="37"/>
      <c r="D11" s="49" t="s">
        <v>168</v>
      </c>
      <c r="E11" s="38"/>
      <c r="F11" s="39"/>
      <c r="G11" s="40"/>
      <c r="H11" s="41"/>
      <c r="I11" s="42"/>
      <c r="J11" s="43">
        <v>5000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169</v>
      </c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7500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114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762C7-5426-4A1E-B935-CC400A82F5DD}">
  <sheetPr>
    <tabColor rgb="FF00B0F0"/>
  </sheetPr>
  <dimension ref="A1:P45"/>
  <sheetViews>
    <sheetView view="pageBreakPreview" topLeftCell="A12" zoomScale="90" zoomScaleNormal="100" zoomScaleSheetLayoutView="90" workbookViewId="0">
      <selection activeCell="E23" sqref="E2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62" t="s">
        <v>398</v>
      </c>
      <c r="D3" s="162"/>
      <c r="E3" s="162"/>
      <c r="F3" s="11" t="s">
        <v>4</v>
      </c>
      <c r="G3" s="11"/>
      <c r="H3" s="11"/>
      <c r="I3" s="11"/>
      <c r="J3" s="77">
        <v>127</v>
      </c>
      <c r="O3" s="4"/>
    </row>
    <row r="4" spans="1:16" s="3" customFormat="1" ht="30" customHeight="1">
      <c r="B4" s="12" t="s">
        <v>5</v>
      </c>
      <c r="C4" s="13" t="s">
        <v>387</v>
      </c>
      <c r="D4" s="10"/>
      <c r="E4" s="10"/>
      <c r="F4" s="14" t="s">
        <v>7</v>
      </c>
      <c r="G4" s="15"/>
      <c r="H4" s="15"/>
      <c r="I4" s="15"/>
      <c r="J4" s="16">
        <v>45447</v>
      </c>
      <c r="L4" s="17"/>
      <c r="P4" s="4"/>
    </row>
    <row r="5" spans="1:16" s="3" customFormat="1" ht="30" customHeight="1">
      <c r="B5" s="12" t="s">
        <v>8</v>
      </c>
      <c r="C5" s="132" t="s">
        <v>388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N9" s="120">
        <v>0.3</v>
      </c>
      <c r="P9" s="35"/>
    </row>
    <row r="10" spans="1:16" s="3" customFormat="1" ht="20.100000000000001" customHeight="1">
      <c r="B10" s="36">
        <v>1</v>
      </c>
      <c r="C10" s="37" t="s">
        <v>399</v>
      </c>
      <c r="D10" s="107" t="s">
        <v>400</v>
      </c>
      <c r="E10" s="38"/>
      <c r="F10" s="39">
        <v>3669</v>
      </c>
      <c r="G10" s="45"/>
      <c r="H10" s="41"/>
      <c r="I10" s="42"/>
      <c r="J10" s="43">
        <f>F10*B10</f>
        <v>3669</v>
      </c>
      <c r="L10" s="4"/>
      <c r="M10" s="1"/>
      <c r="N10" s="1"/>
      <c r="O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3669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C2BDE0-9550-41DA-9828-B670C5CBD53B}">
  <sheetPr codeName="Sheet71">
    <tabColor rgb="FF00B0F0"/>
  </sheetPr>
  <dimension ref="A1:P45"/>
  <sheetViews>
    <sheetView view="pageBreakPreview" topLeftCell="A4" zoomScaleNormal="100" zoomScaleSheetLayoutView="100" workbookViewId="0">
      <selection activeCell="D14" sqref="D1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20</v>
      </c>
      <c r="O3" s="4"/>
    </row>
    <row r="4" spans="1:16" s="3" customFormat="1" ht="30" customHeight="1">
      <c r="B4" s="12" t="s">
        <v>5</v>
      </c>
      <c r="C4" s="13" t="s">
        <v>165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1225</v>
      </c>
      <c r="C10" s="37" t="s">
        <v>93</v>
      </c>
      <c r="D10" s="49" t="s">
        <v>155</v>
      </c>
      <c r="E10" s="38"/>
      <c r="F10" s="39">
        <v>215</v>
      </c>
      <c r="G10" s="40"/>
      <c r="H10" s="41"/>
      <c r="I10" s="42"/>
      <c r="J10" s="43">
        <f t="shared" ref="J10:J13" si="0">F10*B10</f>
        <v>263375</v>
      </c>
      <c r="L10" s="23"/>
      <c r="M10" s="5"/>
      <c r="N10" s="5"/>
      <c r="P10" s="4"/>
    </row>
    <row r="11" spans="1:16" s="3" customFormat="1" ht="20.100000000000001" customHeight="1">
      <c r="B11" s="36">
        <v>2</v>
      </c>
      <c r="C11" s="37" t="s">
        <v>47</v>
      </c>
      <c r="D11" s="49" t="s">
        <v>83</v>
      </c>
      <c r="E11" s="38"/>
      <c r="F11" s="39">
        <v>300</v>
      </c>
      <c r="G11" s="45"/>
      <c r="H11" s="41"/>
      <c r="I11" s="42"/>
      <c r="J11" s="43">
        <f t="shared" si="0"/>
        <v>600</v>
      </c>
      <c r="L11" s="23"/>
      <c r="M11" s="5"/>
      <c r="O11" s="4"/>
      <c r="P11" s="81"/>
    </row>
    <row r="12" spans="1:16" s="3" customFormat="1" ht="20.100000000000001" customHeight="1">
      <c r="B12" s="36">
        <v>5</v>
      </c>
      <c r="C12" s="37" t="s">
        <v>47</v>
      </c>
      <c r="D12" s="49" t="s">
        <v>159</v>
      </c>
      <c r="E12" s="52"/>
      <c r="F12" s="39">
        <v>350</v>
      </c>
      <c r="G12" s="45"/>
      <c r="H12" s="41"/>
      <c r="I12" s="42"/>
      <c r="J12" s="43">
        <f t="shared" si="0"/>
        <v>1750</v>
      </c>
      <c r="L12" s="23"/>
      <c r="M12" s="5"/>
      <c r="N12" s="4"/>
      <c r="O12" s="4"/>
    </row>
    <row r="13" spans="1:16" s="3" customFormat="1" ht="20.100000000000001" customHeight="1">
      <c r="B13" s="36">
        <v>1</v>
      </c>
      <c r="C13" s="37" t="s">
        <v>47</v>
      </c>
      <c r="D13" s="49" t="s">
        <v>154</v>
      </c>
      <c r="E13" s="38"/>
      <c r="F13" s="39">
        <v>280</v>
      </c>
      <c r="G13" s="45"/>
      <c r="H13" s="41"/>
      <c r="I13" s="42"/>
      <c r="J13" s="43">
        <f t="shared" si="0"/>
        <v>280</v>
      </c>
      <c r="L13" s="82"/>
      <c r="M13" s="5"/>
      <c r="O13" s="4"/>
    </row>
    <row r="14" spans="1:16" s="3" customFormat="1" ht="20.100000000000001" customHeight="1">
      <c r="B14" s="36">
        <v>2</v>
      </c>
      <c r="C14" s="37" t="s">
        <v>47</v>
      </c>
      <c r="D14" s="49" t="s">
        <v>160</v>
      </c>
      <c r="E14" s="52"/>
      <c r="F14" s="39">
        <v>750</v>
      </c>
      <c r="G14" s="45"/>
      <c r="H14" s="41"/>
      <c r="I14" s="42"/>
      <c r="J14" s="43">
        <f t="shared" ref="J14" si="1">F14*B14</f>
        <v>1500</v>
      </c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 t="s">
        <v>3</v>
      </c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>
        <v>60</v>
      </c>
      <c r="C17" s="37" t="s">
        <v>16</v>
      </c>
      <c r="D17" s="49" t="s">
        <v>87</v>
      </c>
      <c r="E17" s="50"/>
      <c r="F17" s="56">
        <v>700</v>
      </c>
      <c r="G17" s="45"/>
      <c r="H17" s="41"/>
      <c r="I17" s="42"/>
      <c r="J17" s="43">
        <f>F17*B17</f>
        <v>42000</v>
      </c>
      <c r="M17" s="5"/>
      <c r="O17" s="4"/>
    </row>
    <row r="18" spans="2:16" s="3" customFormat="1" ht="20.100000000000001" customHeight="1">
      <c r="B18" s="36">
        <v>119</v>
      </c>
      <c r="C18" s="37" t="s">
        <v>16</v>
      </c>
      <c r="D18" s="49" t="s">
        <v>88</v>
      </c>
      <c r="E18" s="52"/>
      <c r="F18" s="56">
        <v>800</v>
      </c>
      <c r="G18" s="45"/>
      <c r="H18" s="41"/>
      <c r="I18" s="42"/>
      <c r="J18" s="43">
        <f>F18*B18</f>
        <v>95200</v>
      </c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 t="s">
        <v>156</v>
      </c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>
        <v>40</v>
      </c>
      <c r="C21" s="37" t="s">
        <v>47</v>
      </c>
      <c r="D21" s="79" t="s">
        <v>157</v>
      </c>
      <c r="E21" s="38"/>
      <c r="F21" s="39">
        <v>150</v>
      </c>
      <c r="G21" s="40"/>
      <c r="H21" s="41"/>
      <c r="I21" s="42"/>
      <c r="J21" s="43">
        <f t="shared" ref="J21" si="2">F21*B21</f>
        <v>6000</v>
      </c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158</v>
      </c>
      <c r="E26" s="141"/>
      <c r="F26" s="144" t="s">
        <v>19</v>
      </c>
      <c r="G26" s="145"/>
      <c r="H26" s="62"/>
      <c r="I26" s="62"/>
      <c r="J26" s="148">
        <f>SUM(J10:J25)</f>
        <v>410705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6724F-8E8D-499F-B5D1-816844D8AFAD}">
  <sheetPr codeName="Sheet72">
    <tabColor rgb="FF00B0F0"/>
  </sheetPr>
  <dimension ref="A1:P45"/>
  <sheetViews>
    <sheetView view="pageBreakPreview" zoomScale="80" zoomScaleNormal="100" zoomScaleSheetLayoutView="8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1.57031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19</v>
      </c>
      <c r="O3" s="4"/>
    </row>
    <row r="4" spans="1:16" s="3" customFormat="1" ht="30" customHeight="1">
      <c r="B4" s="12" t="s">
        <v>5</v>
      </c>
      <c r="C4" s="13" t="s">
        <v>165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1225</v>
      </c>
      <c r="C10" s="37" t="s">
        <v>47</v>
      </c>
      <c r="D10" s="49" t="s">
        <v>77</v>
      </c>
      <c r="E10" s="38"/>
      <c r="F10" s="39">
        <v>220</v>
      </c>
      <c r="G10" s="40"/>
      <c r="H10" s="41"/>
      <c r="I10" s="42"/>
      <c r="J10" s="43">
        <f>F10*B10</f>
        <v>269500</v>
      </c>
      <c r="L10" s="23"/>
      <c r="P10" s="78"/>
    </row>
    <row r="11" spans="1:16" s="3" customFormat="1" ht="20.100000000000001" customHeight="1">
      <c r="B11" s="36">
        <v>85</v>
      </c>
      <c r="C11" s="37" t="s">
        <v>78</v>
      </c>
      <c r="D11" s="49" t="s">
        <v>86</v>
      </c>
      <c r="E11" s="38"/>
      <c r="F11" s="39">
        <v>68</v>
      </c>
      <c r="G11" s="45"/>
      <c r="H11" s="41"/>
      <c r="I11" s="42"/>
      <c r="J11" s="43">
        <f t="shared" ref="J11" si="0">F11*B11</f>
        <v>5780</v>
      </c>
      <c r="L11" s="23"/>
      <c r="M11" s="5"/>
      <c r="O11" s="4"/>
    </row>
    <row r="12" spans="1:16" s="3" customFormat="1" ht="20.100000000000001" customHeight="1">
      <c r="B12" s="36">
        <v>20</v>
      </c>
      <c r="C12" s="37" t="s">
        <v>78</v>
      </c>
      <c r="D12" s="49" t="s">
        <v>79</v>
      </c>
      <c r="E12" s="38"/>
      <c r="F12" s="39">
        <v>60</v>
      </c>
      <c r="G12" s="45"/>
      <c r="H12" s="41"/>
      <c r="I12" s="42"/>
      <c r="J12" s="43">
        <f t="shared" ref="J12" si="1">F12*B12</f>
        <v>1200</v>
      </c>
      <c r="L12" s="23"/>
      <c r="M12" s="5"/>
      <c r="O12" s="4"/>
    </row>
    <row r="13" spans="1:16" s="3" customFormat="1" ht="20.100000000000001" customHeight="1">
      <c r="B13" s="36">
        <v>40</v>
      </c>
      <c r="C13" s="37" t="s">
        <v>78</v>
      </c>
      <c r="D13" s="49" t="s">
        <v>80</v>
      </c>
      <c r="E13" s="38"/>
      <c r="F13" s="39">
        <v>65</v>
      </c>
      <c r="G13" s="45"/>
      <c r="H13" s="41"/>
      <c r="I13" s="42"/>
      <c r="J13" s="43">
        <f t="shared" ref="J13" si="2">F13*B13</f>
        <v>2600</v>
      </c>
      <c r="L13" s="23"/>
      <c r="M13" s="5"/>
      <c r="O13" s="4"/>
    </row>
    <row r="14" spans="1:16" s="3" customFormat="1" ht="20.100000000000001" customHeight="1">
      <c r="B14" s="36">
        <v>20</v>
      </c>
      <c r="C14" s="37" t="s">
        <v>47</v>
      </c>
      <c r="D14" s="49" t="s">
        <v>160</v>
      </c>
      <c r="E14" s="52"/>
      <c r="F14" s="39">
        <v>750</v>
      </c>
      <c r="G14" s="45"/>
      <c r="H14" s="41"/>
      <c r="I14" s="42"/>
      <c r="J14" s="43">
        <f t="shared" ref="J14:J17" si="3">F14*B14</f>
        <v>15000</v>
      </c>
      <c r="L14" s="23"/>
      <c r="M14" s="5"/>
      <c r="N14" s="4"/>
      <c r="O14" s="4"/>
    </row>
    <row r="15" spans="1:16" s="3" customFormat="1" ht="20.100000000000001" customHeight="1">
      <c r="B15" s="36">
        <v>117</v>
      </c>
      <c r="C15" s="37" t="s">
        <v>47</v>
      </c>
      <c r="D15" s="49" t="s">
        <v>162</v>
      </c>
      <c r="E15" s="38"/>
      <c r="F15" s="39">
        <v>100</v>
      </c>
      <c r="G15" s="45"/>
      <c r="H15" s="41"/>
      <c r="I15" s="42"/>
      <c r="J15" s="43">
        <f t="shared" si="3"/>
        <v>11700</v>
      </c>
      <c r="L15" s="23">
        <v>100</v>
      </c>
      <c r="M15" s="76">
        <f>L15*F15</f>
        <v>10000</v>
      </c>
      <c r="O15" s="4"/>
    </row>
    <row r="16" spans="1:16" s="3" customFormat="1" ht="20.100000000000001" customHeight="1">
      <c r="B16" s="36">
        <v>350</v>
      </c>
      <c r="C16" s="37" t="s">
        <v>47</v>
      </c>
      <c r="D16" s="49" t="s">
        <v>163</v>
      </c>
      <c r="E16" s="38"/>
      <c r="F16" s="39">
        <v>20</v>
      </c>
      <c r="G16" s="45"/>
      <c r="H16" s="41"/>
      <c r="I16" s="42"/>
      <c r="J16" s="43">
        <f t="shared" si="3"/>
        <v>7000</v>
      </c>
      <c r="L16" s="23">
        <v>20</v>
      </c>
      <c r="M16" s="76">
        <f t="shared" ref="M16:M17" si="4">L16*F16</f>
        <v>400</v>
      </c>
      <c r="O16" s="4"/>
    </row>
    <row r="17" spans="2:16" s="3" customFormat="1" ht="20.100000000000001" customHeight="1">
      <c r="B17" s="36">
        <v>350</v>
      </c>
      <c r="C17" s="37" t="s">
        <v>47</v>
      </c>
      <c r="D17" s="49" t="s">
        <v>164</v>
      </c>
      <c r="E17" s="38"/>
      <c r="F17" s="39">
        <v>25</v>
      </c>
      <c r="G17" s="45"/>
      <c r="H17" s="41"/>
      <c r="I17" s="42"/>
      <c r="J17" s="43">
        <f t="shared" si="3"/>
        <v>8750</v>
      </c>
      <c r="L17" s="23">
        <v>25</v>
      </c>
      <c r="M17" s="76">
        <f t="shared" si="4"/>
        <v>625</v>
      </c>
      <c r="N17" s="55"/>
      <c r="O17" s="4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M18" s="76">
        <f>SUM(M15:M17)</f>
        <v>11025</v>
      </c>
      <c r="N18" s="55"/>
      <c r="O18" s="4"/>
    </row>
    <row r="19" spans="2:16" s="3" customFormat="1" ht="20.100000000000001" customHeight="1">
      <c r="B19" s="36"/>
      <c r="C19" s="37"/>
      <c r="D19" s="49"/>
      <c r="E19" s="38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 t="s">
        <v>156</v>
      </c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>
        <v>110</v>
      </c>
      <c r="C21" s="37" t="s">
        <v>47</v>
      </c>
      <c r="D21" s="79" t="s">
        <v>90</v>
      </c>
      <c r="E21" s="38"/>
      <c r="F21" s="39">
        <f>4*25</f>
        <v>100</v>
      </c>
      <c r="G21" s="40"/>
      <c r="H21" s="41"/>
      <c r="I21" s="42"/>
      <c r="J21" s="43">
        <f t="shared" ref="J21" si="5">F21*B21</f>
        <v>11000</v>
      </c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161</v>
      </c>
      <c r="E26" s="141"/>
      <c r="F26" s="144" t="s">
        <v>19</v>
      </c>
      <c r="G26" s="145"/>
      <c r="H26" s="62"/>
      <c r="I26" s="62"/>
      <c r="J26" s="148">
        <f>SUM(J10:J25)</f>
        <v>332530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6F04E0-AACE-4430-A92F-D4CDE334E5EC}">
  <sheetPr codeName="Sheet73">
    <tabColor rgb="FF00B0F0"/>
  </sheetPr>
  <dimension ref="A1:P45"/>
  <sheetViews>
    <sheetView view="pageBreakPreview" zoomScaleNormal="100" zoomScaleSheetLayoutView="100" workbookViewId="0">
      <selection activeCell="E11" sqref="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7.85546875" style="5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89">
        <f>5.3*443</f>
        <v>2347.9</v>
      </c>
      <c r="O1" s="4">
        <f>3233.9-N1</f>
        <v>886</v>
      </c>
    </row>
    <row r="2" spans="1:16" ht="15" thickTop="1"/>
    <row r="3" spans="1:16" s="3" customFormat="1" ht="30" customHeight="1">
      <c r="B3" s="9" t="s">
        <v>2</v>
      </c>
      <c r="C3" s="131" t="s">
        <v>95</v>
      </c>
      <c r="D3" s="131"/>
      <c r="E3" s="131"/>
      <c r="F3" s="11" t="s">
        <v>4</v>
      </c>
      <c r="G3" s="11"/>
      <c r="H3" s="11"/>
      <c r="I3" s="11"/>
      <c r="J3" s="77">
        <v>18</v>
      </c>
      <c r="O3" s="4"/>
    </row>
    <row r="4" spans="1:16" s="3" customFormat="1" ht="30" customHeight="1">
      <c r="B4" s="12" t="s">
        <v>5</v>
      </c>
      <c r="C4" s="13" t="s">
        <v>74</v>
      </c>
      <c r="D4" s="10"/>
      <c r="E4" s="10"/>
      <c r="F4" s="14" t="s">
        <v>7</v>
      </c>
      <c r="G4" s="15"/>
      <c r="H4" s="15"/>
      <c r="I4" s="15"/>
      <c r="J4" s="16">
        <v>45309</v>
      </c>
      <c r="L4" s="17"/>
      <c r="P4" s="4">
        <f>2347.9+2528.1+2347.9</f>
        <v>7223.9</v>
      </c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>
        <f>P4-7250</f>
        <v>-26.100000000000364</v>
      </c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</v>
      </c>
      <c r="C10" s="37" t="s">
        <v>97</v>
      </c>
      <c r="D10" s="49" t="s">
        <v>153</v>
      </c>
      <c r="E10" s="38"/>
      <c r="F10" s="39">
        <v>8500</v>
      </c>
      <c r="G10" s="40"/>
      <c r="H10" s="41"/>
      <c r="I10" s="42"/>
      <c r="J10" s="43">
        <f>F10*B10</f>
        <v>8500</v>
      </c>
      <c r="L10" s="23"/>
      <c r="P10" s="78"/>
    </row>
    <row r="11" spans="1:16" s="3" customFormat="1" ht="20.100000000000001" customHeight="1">
      <c r="B11" s="36"/>
      <c r="C11" s="37"/>
      <c r="D11" s="79"/>
      <c r="E11" s="38"/>
      <c r="F11" s="39"/>
      <c r="G11" s="40"/>
      <c r="H11" s="41"/>
      <c r="I11" s="42"/>
      <c r="J11" s="43"/>
      <c r="L11" s="23"/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L12" s="23"/>
      <c r="M12" s="5"/>
      <c r="O12" s="4"/>
    </row>
    <row r="13" spans="1:16" s="3" customFormat="1" ht="20.100000000000001" customHeight="1">
      <c r="B13" s="36"/>
      <c r="C13" s="37"/>
      <c r="D13" s="80" t="s">
        <v>76</v>
      </c>
      <c r="E13" s="38"/>
      <c r="F13" s="39"/>
      <c r="G13" s="45"/>
      <c r="H13" s="41"/>
      <c r="I13" s="42"/>
      <c r="J13" s="43"/>
      <c r="L13" s="23"/>
      <c r="M13" s="5"/>
      <c r="O13" s="4"/>
      <c r="P13" s="81"/>
    </row>
    <row r="14" spans="1:16" s="3" customFormat="1" ht="20.100000000000001" customHeight="1">
      <c r="B14" s="36">
        <v>1</v>
      </c>
      <c r="C14" s="37" t="s">
        <v>47</v>
      </c>
      <c r="D14" s="49" t="s">
        <v>154</v>
      </c>
      <c r="E14" s="38"/>
      <c r="F14" s="39">
        <v>250</v>
      </c>
      <c r="G14" s="45"/>
      <c r="H14" s="41"/>
      <c r="I14" s="42"/>
      <c r="J14" s="43">
        <f>F14*B14</f>
        <v>250</v>
      </c>
      <c r="L14" s="23"/>
      <c r="M14" s="5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80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80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6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6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37"/>
      <c r="D23" s="49"/>
      <c r="E23" s="52"/>
      <c r="F23" s="56"/>
      <c r="G23" s="45"/>
      <c r="H23" s="41"/>
      <c r="I23" s="42"/>
      <c r="J23" s="43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96</v>
      </c>
      <c r="E26" s="141"/>
      <c r="F26" s="144" t="s">
        <v>19</v>
      </c>
      <c r="G26" s="145"/>
      <c r="H26" s="62"/>
      <c r="I26" s="62"/>
      <c r="J26" s="148">
        <f>SUM(J10:J25)</f>
        <v>8750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01924-F9AB-49B9-9101-1E242B64A780}">
  <sheetPr codeName="Sheet74">
    <tabColor rgb="FFC00000"/>
  </sheetPr>
  <dimension ref="A1:P45"/>
  <sheetViews>
    <sheetView view="pageBreakPreview" zoomScaleNormal="100" zoomScaleSheetLayoutView="10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119</v>
      </c>
      <c r="D3" s="150"/>
      <c r="E3" s="150"/>
      <c r="F3" s="11" t="s">
        <v>4</v>
      </c>
      <c r="G3" s="11"/>
      <c r="H3" s="11"/>
      <c r="I3" s="11"/>
      <c r="J3" s="77">
        <v>17</v>
      </c>
      <c r="O3" s="4"/>
    </row>
    <row r="4" spans="1:16" s="3" customFormat="1" ht="30" customHeight="1">
      <c r="B4" s="12" t="s">
        <v>5</v>
      </c>
      <c r="C4" s="13" t="s">
        <v>123</v>
      </c>
      <c r="D4" s="10"/>
      <c r="E4" s="10"/>
      <c r="F4" s="14" t="s">
        <v>7</v>
      </c>
      <c r="G4" s="15"/>
      <c r="H4" s="15"/>
      <c r="I4" s="15"/>
      <c r="J4" s="16">
        <v>45306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145</v>
      </c>
      <c r="E10" s="157"/>
      <c r="F10" s="39">
        <v>875.18</v>
      </c>
      <c r="G10" s="40"/>
      <c r="H10" s="41"/>
      <c r="I10" s="42"/>
      <c r="J10" s="43">
        <f>F10</f>
        <v>875.18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875.18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325EB-216F-4656-808E-76FAD1A93144}">
  <sheetPr codeName="Sheet75">
    <tabColor rgb="FFC00000"/>
  </sheetPr>
  <dimension ref="A1:P45"/>
  <sheetViews>
    <sheetView view="pageBreakPreview" topLeftCell="A16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16</v>
      </c>
      <c r="O3" s="4"/>
    </row>
    <row r="4" spans="1:16" s="3" customFormat="1" ht="30" customHeight="1">
      <c r="B4" s="12" t="s">
        <v>5</v>
      </c>
      <c r="C4" s="13" t="s">
        <v>144</v>
      </c>
      <c r="D4" s="10"/>
      <c r="E4" s="10"/>
      <c r="F4" s="14" t="s">
        <v>7</v>
      </c>
      <c r="G4" s="15"/>
      <c r="H4" s="15"/>
      <c r="I4" s="15"/>
      <c r="J4" s="16">
        <v>45306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149</v>
      </c>
      <c r="E10" s="157"/>
      <c r="F10" s="39"/>
      <c r="G10" s="40"/>
      <c r="H10" s="41"/>
      <c r="I10" s="42"/>
      <c r="J10" s="43">
        <v>4156.04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4156.04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6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D9:E9"/>
    <mergeCell ref="F9:H9"/>
    <mergeCell ref="D10:E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7905D-3EB3-4CFC-A884-40B9B42ACA52}">
  <sheetPr codeName="Sheet76">
    <tabColor rgb="FF0070C0"/>
  </sheetPr>
  <dimension ref="A1:Q52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7" width="12.42578125" style="5" bestFit="1" customWidth="1"/>
    <col min="18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>
      <c r="P2" s="3"/>
    </row>
    <row r="3" spans="1:17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15</v>
      </c>
      <c r="O3" s="4"/>
      <c r="P3" s="4"/>
    </row>
    <row r="4" spans="1:17" s="3" customFormat="1" ht="30" customHeight="1">
      <c r="B4" s="12" t="s">
        <v>5</v>
      </c>
      <c r="C4" s="13" t="s">
        <v>190</v>
      </c>
      <c r="D4" s="10"/>
      <c r="E4" s="10"/>
      <c r="F4" s="14" t="s">
        <v>7</v>
      </c>
      <c r="G4" s="15"/>
      <c r="H4" s="15"/>
      <c r="I4" s="15"/>
      <c r="J4" s="16">
        <v>45306</v>
      </c>
      <c r="L4" s="17"/>
      <c r="P4" s="4"/>
    </row>
    <row r="5" spans="1:17" s="3" customFormat="1" ht="30" customHeight="1">
      <c r="B5" s="12" t="s">
        <v>8</v>
      </c>
      <c r="C5" s="132" t="s">
        <v>9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400*7.3</f>
        <v>2920</v>
      </c>
      <c r="Q6" s="4">
        <f>2700*6</f>
        <v>16200</v>
      </c>
    </row>
    <row r="7" spans="1:17" s="3" customFormat="1" ht="13.5" customHeight="1" thickBot="1">
      <c r="B7" s="23"/>
      <c r="C7" s="24"/>
      <c r="D7" s="24"/>
      <c r="G7" s="25"/>
      <c r="J7" s="26"/>
      <c r="P7" s="4">
        <f>400*6.3</f>
        <v>2520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7" s="3" customFormat="1" ht="20.100000000000001" customHeight="1">
      <c r="B10" s="36">
        <f>20.4+20.2+19.8+19.6</f>
        <v>80</v>
      </c>
      <c r="C10" s="37" t="s">
        <v>16</v>
      </c>
      <c r="D10" s="3" t="s">
        <v>87</v>
      </c>
      <c r="E10" s="38"/>
      <c r="F10" s="39">
        <v>600</v>
      </c>
      <c r="G10" s="40"/>
      <c r="H10" s="41"/>
      <c r="I10" s="42"/>
      <c r="J10" s="43">
        <f>F10*B10</f>
        <v>48000</v>
      </c>
      <c r="M10" s="5"/>
      <c r="O10" s="4"/>
    </row>
    <row r="11" spans="1:17" s="3" customFormat="1" ht="20.100000000000001" customHeight="1">
      <c r="B11" s="36">
        <f>20.4+20.2+19.8+19.6+20.4+19.6</f>
        <v>120</v>
      </c>
      <c r="C11" s="37" t="s">
        <v>16</v>
      </c>
      <c r="D11" s="44" t="s">
        <v>142</v>
      </c>
      <c r="E11" s="38"/>
      <c r="F11" s="39">
        <v>900</v>
      </c>
      <c r="G11" s="45"/>
      <c r="H11" s="41"/>
      <c r="I11" s="42"/>
      <c r="J11" s="43">
        <f>F11*B11</f>
        <v>108000</v>
      </c>
      <c r="M11" s="5"/>
      <c r="O11" s="4"/>
    </row>
    <row r="12" spans="1:17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7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7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7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156000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D1000A-90DE-40E0-B629-83C610BBCDA3}">
  <sheetPr codeName="Sheet77">
    <tabColor rgb="FF00B0F0"/>
  </sheetPr>
  <dimension ref="A1:P47"/>
  <sheetViews>
    <sheetView view="pageBreakPreview" zoomScaleNormal="100" zoomScaleSheetLayoutView="100" workbookViewId="0">
      <selection activeCell="E12" sqref="E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7.85546875" style="5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89">
        <f>5.3*443</f>
        <v>2347.9</v>
      </c>
      <c r="O1" s="4">
        <f>3233.9-N1</f>
        <v>886</v>
      </c>
    </row>
    <row r="2" spans="1:16" ht="15" thickTop="1"/>
    <row r="3" spans="1:16" s="3" customFormat="1" ht="30" customHeight="1">
      <c r="B3" s="9" t="s">
        <v>2</v>
      </c>
      <c r="C3" s="131" t="s">
        <v>95</v>
      </c>
      <c r="D3" s="131"/>
      <c r="E3" s="131"/>
      <c r="F3" s="11" t="s">
        <v>4</v>
      </c>
      <c r="G3" s="11"/>
      <c r="H3" s="11"/>
      <c r="I3" s="11"/>
      <c r="J3" s="77">
        <v>14</v>
      </c>
      <c r="O3" s="4"/>
    </row>
    <row r="4" spans="1:16" s="3" customFormat="1" ht="30" customHeight="1">
      <c r="B4" s="12" t="s">
        <v>5</v>
      </c>
      <c r="C4" s="13" t="s">
        <v>74</v>
      </c>
      <c r="D4" s="10"/>
      <c r="E4" s="10"/>
      <c r="F4" s="14" t="s">
        <v>7</v>
      </c>
      <c r="G4" s="15"/>
      <c r="H4" s="15"/>
      <c r="I4" s="15"/>
      <c r="J4" s="16">
        <v>45304</v>
      </c>
      <c r="L4" s="17"/>
      <c r="P4" s="4">
        <f>2347.9+2528.1+2347.9</f>
        <v>7223.9</v>
      </c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>
        <f>P4-7250</f>
        <v>-26.100000000000364</v>
      </c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</v>
      </c>
      <c r="C10" s="37" t="s">
        <v>97</v>
      </c>
      <c r="D10" s="49" t="s">
        <v>141</v>
      </c>
      <c r="E10" s="38"/>
      <c r="F10" s="39">
        <v>19000</v>
      </c>
      <c r="G10" s="40"/>
      <c r="H10" s="41"/>
      <c r="I10" s="42"/>
      <c r="J10" s="43">
        <f>F10*B10</f>
        <v>19000</v>
      </c>
      <c r="L10" s="23"/>
      <c r="P10" s="78"/>
    </row>
    <row r="11" spans="1:16" s="3" customFormat="1" ht="20.100000000000001" customHeight="1">
      <c r="B11" s="36"/>
      <c r="C11" s="37"/>
      <c r="D11" s="79"/>
      <c r="E11" s="38"/>
      <c r="F11" s="39"/>
      <c r="G11" s="40"/>
      <c r="H11" s="41"/>
      <c r="I11" s="42"/>
      <c r="J11" s="43"/>
      <c r="L11" s="23"/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L12" s="23"/>
      <c r="M12" s="5"/>
      <c r="O12" s="4"/>
    </row>
    <row r="13" spans="1:16" s="3" customFormat="1" ht="20.100000000000001" customHeight="1">
      <c r="B13" s="36"/>
      <c r="C13" s="37"/>
      <c r="D13" s="80"/>
      <c r="E13" s="38"/>
      <c r="F13" s="39"/>
      <c r="G13" s="45"/>
      <c r="H13" s="41"/>
      <c r="I13" s="42"/>
      <c r="J13" s="43"/>
      <c r="L13" s="2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80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80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6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6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37"/>
      <c r="D23" s="49"/>
      <c r="E23" s="52"/>
      <c r="F23" s="56"/>
      <c r="G23" s="45"/>
      <c r="H23" s="41"/>
      <c r="I23" s="42"/>
      <c r="J23" s="43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96</v>
      </c>
      <c r="E26" s="141"/>
      <c r="F26" s="144" t="s">
        <v>19</v>
      </c>
      <c r="G26" s="145"/>
      <c r="H26" s="62"/>
      <c r="I26" s="62"/>
      <c r="J26" s="148">
        <f>SUM(J10:J25)</f>
        <v>19000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91E18-1841-4C36-A502-8C59E5632990}">
  <sheetPr codeName="Sheet78">
    <tabColor rgb="FFC00000"/>
  </sheetPr>
  <dimension ref="A1:P45"/>
  <sheetViews>
    <sheetView view="pageBreakPreview" zoomScaleNormal="100" zoomScaleSheetLayoutView="100" workbookViewId="0">
      <selection activeCell="D13" sqref="D13: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13</v>
      </c>
      <c r="O3" s="4"/>
    </row>
    <row r="4" spans="1:16" s="3" customFormat="1" ht="30" customHeight="1">
      <c r="B4" s="12" t="s">
        <v>5</v>
      </c>
      <c r="C4" s="13" t="s">
        <v>140</v>
      </c>
      <c r="D4" s="10"/>
      <c r="E4" s="10"/>
      <c r="F4" s="14" t="s">
        <v>7</v>
      </c>
      <c r="G4" s="15"/>
      <c r="H4" s="15"/>
      <c r="I4" s="15"/>
      <c r="J4" s="16">
        <v>45303</v>
      </c>
      <c r="L4" s="17"/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139</v>
      </c>
      <c r="E10" s="157"/>
      <c r="F10" s="39">
        <v>2368.41</v>
      </c>
      <c r="G10" s="40"/>
      <c r="H10" s="41"/>
      <c r="I10" s="42"/>
      <c r="J10" s="43">
        <f>F10</f>
        <v>2368.41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56" t="s">
        <v>131</v>
      </c>
      <c r="E12" s="15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56" t="s">
        <v>132</v>
      </c>
      <c r="E13" s="157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156"/>
      <c r="E14" s="157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135</v>
      </c>
      <c r="E26" s="141"/>
      <c r="F26" s="144" t="s">
        <v>19</v>
      </c>
      <c r="G26" s="145"/>
      <c r="H26" s="62"/>
      <c r="I26" s="62"/>
      <c r="J26" s="148">
        <f>SUM(J10:J25)</f>
        <v>2368.41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9">
    <mergeCell ref="B42:C42"/>
    <mergeCell ref="D23:E23"/>
    <mergeCell ref="B26:B27"/>
    <mergeCell ref="C26:C27"/>
    <mergeCell ref="D26:E27"/>
    <mergeCell ref="F26:G27"/>
    <mergeCell ref="J26:J27"/>
    <mergeCell ref="D10:E10"/>
    <mergeCell ref="D12:E12"/>
    <mergeCell ref="D13:E13"/>
    <mergeCell ref="D14:E14"/>
    <mergeCell ref="D15:E15"/>
    <mergeCell ref="D22:E22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D12692-6014-4012-9C7A-0292DE9E4B10}">
  <sheetPr codeName="Sheet79">
    <tabColor rgb="FFC00000"/>
  </sheetPr>
  <dimension ref="A1:P45"/>
  <sheetViews>
    <sheetView view="pageBreakPreview" zoomScaleNormal="100" zoomScaleSheetLayoutView="100" workbookViewId="0">
      <selection activeCell="L11" sqref="L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12</v>
      </c>
      <c r="O3" s="4"/>
    </row>
    <row r="4" spans="1:16" s="3" customFormat="1" ht="30" customHeight="1">
      <c r="B4" s="12" t="s">
        <v>5</v>
      </c>
      <c r="C4" s="13" t="s">
        <v>137</v>
      </c>
      <c r="D4" s="10"/>
      <c r="E4" s="10"/>
      <c r="F4" s="14" t="s">
        <v>7</v>
      </c>
      <c r="G4" s="15"/>
      <c r="H4" s="15"/>
      <c r="I4" s="15"/>
      <c r="J4" s="16">
        <v>45303</v>
      </c>
      <c r="L4" s="17"/>
      <c r="N4" s="3">
        <f>960/64</f>
        <v>15</v>
      </c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N5" s="3">
        <f>74*15</f>
        <v>1110</v>
      </c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3" t="s">
        <v>125</v>
      </c>
      <c r="N6" s="3">
        <f>N5-200</f>
        <v>910</v>
      </c>
      <c r="P6" s="4"/>
    </row>
    <row r="7" spans="1:16" s="3" customFormat="1" ht="13.5" customHeight="1" thickBot="1">
      <c r="B7" s="23"/>
      <c r="C7" s="24"/>
      <c r="D7" s="24"/>
      <c r="G7" s="25"/>
      <c r="J7" s="26"/>
      <c r="L7" s="3" t="s">
        <v>126</v>
      </c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127</v>
      </c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6" t="s">
        <v>138</v>
      </c>
      <c r="E10" s="157"/>
      <c r="F10" s="39">
        <v>910</v>
      </c>
      <c r="G10" s="45"/>
      <c r="H10" s="41"/>
      <c r="I10" s="42"/>
      <c r="J10" s="43">
        <f>F10</f>
        <v>910</v>
      </c>
      <c r="L10" s="24" t="s">
        <v>128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L11" s="3" t="s">
        <v>130</v>
      </c>
      <c r="M11" s="5"/>
      <c r="N11" s="5"/>
      <c r="P11" s="4"/>
    </row>
    <row r="12" spans="1:16" s="3" customFormat="1" ht="20.100000000000001" customHeight="1">
      <c r="B12" s="36"/>
      <c r="C12" s="37"/>
      <c r="D12" s="156" t="s">
        <v>131</v>
      </c>
      <c r="E12" s="15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56" t="s">
        <v>132</v>
      </c>
      <c r="E13" s="157"/>
      <c r="F13" s="39"/>
      <c r="G13" s="45"/>
      <c r="H13" s="41"/>
      <c r="I13" s="42"/>
      <c r="J13" s="43"/>
      <c r="L13" s="3" t="s">
        <v>133</v>
      </c>
      <c r="M13" s="5"/>
      <c r="O13" s="4"/>
      <c r="P13" s="81"/>
    </row>
    <row r="14" spans="1:16" s="3" customFormat="1" ht="20.100000000000001" customHeight="1">
      <c r="B14" s="36"/>
      <c r="C14" s="37"/>
      <c r="D14" s="156"/>
      <c r="E14" s="157"/>
      <c r="F14" s="39"/>
      <c r="G14" s="45"/>
      <c r="H14" s="41"/>
      <c r="I14" s="42"/>
      <c r="J14" s="43"/>
      <c r="L14" s="3" t="s">
        <v>129</v>
      </c>
      <c r="M14" s="5"/>
      <c r="O14" s="4"/>
    </row>
    <row r="15" spans="1:16" s="3" customFormat="1" ht="20.100000000000001" customHeight="1">
      <c r="B15" s="36"/>
      <c r="C15" s="37"/>
      <c r="D15" s="156"/>
      <c r="E15" s="157"/>
      <c r="F15" s="39"/>
      <c r="G15" s="45"/>
      <c r="H15" s="41"/>
      <c r="I15" s="42"/>
      <c r="J15" s="43"/>
      <c r="L15" s="3" t="s">
        <v>131</v>
      </c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>
        <f>910-1110</f>
        <v>-200</v>
      </c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L18" s="3" t="s">
        <v>134</v>
      </c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910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5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5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5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5">
      <c r="B36" s="7"/>
      <c r="C36" s="68"/>
      <c r="D36" s="68"/>
      <c r="E36" s="67"/>
      <c r="F36" s="67"/>
      <c r="G36" s="67"/>
      <c r="H36" s="67"/>
      <c r="I36" s="67"/>
      <c r="J36" s="67"/>
    </row>
    <row r="37" spans="2:15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5">
      <c r="B38" s="7"/>
      <c r="C38" s="68"/>
      <c r="D38" s="68"/>
      <c r="E38" s="67"/>
      <c r="F38" s="67"/>
      <c r="G38" s="67"/>
      <c r="H38" s="67"/>
      <c r="I38" s="67"/>
      <c r="J38" s="67"/>
    </row>
    <row r="39" spans="2:15">
      <c r="C39" s="68"/>
      <c r="D39" s="68"/>
      <c r="E39" s="67"/>
      <c r="F39" s="67"/>
      <c r="G39" s="67"/>
      <c r="H39" s="67"/>
      <c r="I39" s="67"/>
      <c r="J39" s="67"/>
    </row>
    <row r="40" spans="2:15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5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5">
      <c r="B42" s="125"/>
      <c r="C42" s="125"/>
      <c r="E42" s="7"/>
      <c r="F42" s="7"/>
    </row>
    <row r="43" spans="2:15">
      <c r="O43" s="8">
        <f>118+88</f>
        <v>206</v>
      </c>
    </row>
    <row r="45" spans="2:15" ht="15">
      <c r="M45" s="75"/>
    </row>
  </sheetData>
  <mergeCells count="19">
    <mergeCell ref="B42:C42"/>
    <mergeCell ref="D23:E23"/>
    <mergeCell ref="B26:B27"/>
    <mergeCell ref="C26:C27"/>
    <mergeCell ref="D26:E27"/>
    <mergeCell ref="F26:G27"/>
    <mergeCell ref="J26:J27"/>
    <mergeCell ref="D10:E10"/>
    <mergeCell ref="D12:E12"/>
    <mergeCell ref="D13:E13"/>
    <mergeCell ref="D14:E14"/>
    <mergeCell ref="D15:E15"/>
    <mergeCell ref="D22:E22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500B72-318C-4F47-8019-4F1B4B11CAB0}">
  <sheetPr codeName="Sheet80">
    <tabColor rgb="FFC00000"/>
  </sheetPr>
  <dimension ref="A1:P45"/>
  <sheetViews>
    <sheetView view="pageBreakPreview" zoomScale="90" zoomScaleNormal="100" zoomScaleSheetLayoutView="90" workbookViewId="0">
      <selection activeCell="B1" sqref="B1:F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0" t="s">
        <v>100</v>
      </c>
      <c r="D3" s="150"/>
      <c r="E3" s="150"/>
      <c r="F3" s="11" t="s">
        <v>4</v>
      </c>
      <c r="G3" s="11"/>
      <c r="H3" s="11"/>
      <c r="I3" s="11"/>
      <c r="J3" s="77">
        <v>11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1" t="s">
        <v>101</v>
      </c>
      <c r="E10" s="152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115</v>
      </c>
      <c r="E11" s="90"/>
      <c r="F11" s="39">
        <v>2000</v>
      </c>
      <c r="G11" s="40"/>
      <c r="H11" s="41"/>
      <c r="I11" s="42"/>
      <c r="J11" s="91">
        <f>F11</f>
        <v>2000</v>
      </c>
      <c r="M11" s="5"/>
      <c r="N11" s="5"/>
      <c r="P11" s="4"/>
    </row>
    <row r="12" spans="1:16" s="3" customFormat="1" ht="20.100000000000001" customHeight="1">
      <c r="B12" s="36"/>
      <c r="C12" s="37"/>
      <c r="D12" s="151" t="s">
        <v>102</v>
      </c>
      <c r="E12" s="152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1" t="s">
        <v>103</v>
      </c>
      <c r="E13" s="152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3"/>
      <c r="M17" s="153"/>
      <c r="N17" s="153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3"/>
      <c r="M18" s="153"/>
      <c r="N18" s="153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3"/>
      <c r="M19" s="153"/>
      <c r="N19" s="153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109</vt:i4>
      </vt:variant>
      <vt:variant>
        <vt:lpstr>Named Ranges</vt:lpstr>
      </vt:variant>
      <vt:variant>
        <vt:i4>109</vt:i4>
      </vt:variant>
    </vt:vector>
  </HeadingPairs>
  <TitlesOfParts>
    <vt:vector size="218" baseType="lpstr">
      <vt:lpstr>135</vt:lpstr>
      <vt:lpstr>134</vt:lpstr>
      <vt:lpstr>133</vt:lpstr>
      <vt:lpstr>132</vt:lpstr>
      <vt:lpstr>131</vt:lpstr>
      <vt:lpstr>130</vt:lpstr>
      <vt:lpstr>129</vt:lpstr>
      <vt:lpstr>128</vt:lpstr>
      <vt:lpstr>127</vt:lpstr>
      <vt:lpstr>126</vt:lpstr>
      <vt:lpstr>125</vt:lpstr>
      <vt:lpstr>124</vt:lpstr>
      <vt:lpstr>123</vt:lpstr>
      <vt:lpstr>122</vt:lpstr>
      <vt:lpstr>121</vt:lpstr>
      <vt:lpstr>120</vt:lpstr>
      <vt:lpstr>119</vt:lpstr>
      <vt:lpstr>118</vt:lpstr>
      <vt:lpstr>117</vt:lpstr>
      <vt:lpstr>116</vt:lpstr>
      <vt:lpstr>115</vt:lpstr>
      <vt:lpstr>114</vt:lpstr>
      <vt:lpstr>113</vt:lpstr>
      <vt:lpstr>112</vt:lpstr>
      <vt:lpstr>111</vt:lpstr>
      <vt:lpstr>110</vt:lpstr>
      <vt:lpstr>109</vt:lpstr>
      <vt:lpstr>108</vt:lpstr>
      <vt:lpstr>107</vt:lpstr>
      <vt:lpstr>106</vt:lpstr>
      <vt:lpstr>105</vt:lpstr>
      <vt:lpstr>104</vt:lpstr>
      <vt:lpstr>103</vt:lpstr>
      <vt:lpstr>102</vt:lpstr>
      <vt:lpstr>101</vt:lpstr>
      <vt:lpstr>100</vt:lpstr>
      <vt:lpstr>099</vt:lpstr>
      <vt:lpstr>098</vt:lpstr>
      <vt:lpstr>097</vt:lpstr>
      <vt:lpstr>096</vt:lpstr>
      <vt:lpstr>095</vt:lpstr>
      <vt:lpstr>094</vt:lpstr>
      <vt:lpstr>093</vt:lpstr>
      <vt:lpstr>092</vt:lpstr>
      <vt:lpstr>091</vt:lpstr>
      <vt:lpstr>082</vt:lpstr>
      <vt:lpstr>081</vt:lpstr>
      <vt:lpstr>080</vt:lpstr>
      <vt:lpstr>079</vt:lpstr>
      <vt:lpstr>067</vt:lpstr>
      <vt:lpstr>066</vt:lpstr>
      <vt:lpstr>065</vt:lpstr>
      <vt:lpstr>064</vt:lpstr>
      <vt:lpstr>063</vt:lpstr>
      <vt:lpstr>062</vt:lpstr>
      <vt:lpstr>061</vt:lpstr>
      <vt:lpstr>060</vt:lpstr>
      <vt:lpstr>052</vt:lpstr>
      <vt:lpstr>051</vt:lpstr>
      <vt:lpstr>050</vt:lpstr>
      <vt:lpstr>049</vt:lpstr>
      <vt:lpstr>048</vt:lpstr>
      <vt:lpstr>047</vt:lpstr>
      <vt:lpstr>046</vt:lpstr>
      <vt:lpstr>045</vt:lpstr>
      <vt:lpstr>044</vt:lpstr>
      <vt:lpstr>043</vt:lpstr>
      <vt:lpstr>042</vt:lpstr>
      <vt:lpstr>041</vt:lpstr>
      <vt:lpstr>040</vt:lpstr>
      <vt:lpstr>039</vt:lpstr>
      <vt:lpstr>038</vt:lpstr>
      <vt:lpstr>037</vt:lpstr>
      <vt:lpstr>036</vt:lpstr>
      <vt:lpstr>035</vt:lpstr>
      <vt:lpstr>034</vt:lpstr>
      <vt:lpstr>033</vt:lpstr>
      <vt:lpstr>032</vt:lpstr>
      <vt:lpstr>031</vt:lpstr>
      <vt:lpstr>030</vt:lpstr>
      <vt:lpstr>029</vt:lpstr>
      <vt:lpstr>028</vt:lpstr>
      <vt:lpstr>027</vt:lpstr>
      <vt:lpstr>026</vt:lpstr>
      <vt:lpstr>025</vt:lpstr>
      <vt:lpstr>024</vt:lpstr>
      <vt:lpstr>023</vt:lpstr>
      <vt:lpstr>022</vt:lpstr>
      <vt:lpstr>021</vt:lpstr>
      <vt:lpstr>020</vt:lpstr>
      <vt:lpstr>019</vt:lpstr>
      <vt:lpstr>018</vt:lpstr>
      <vt:lpstr>017</vt:lpstr>
      <vt:lpstr>016</vt:lpstr>
      <vt:lpstr>015</vt:lpstr>
      <vt:lpstr>014</vt:lpstr>
      <vt:lpstr>013</vt:lpstr>
      <vt:lpstr>012</vt:lpstr>
      <vt:lpstr>011</vt:lpstr>
      <vt:lpstr>010</vt:lpstr>
      <vt:lpstr>009</vt:lpstr>
      <vt:lpstr>008</vt:lpstr>
      <vt:lpstr>007</vt:lpstr>
      <vt:lpstr>006</vt:lpstr>
      <vt:lpstr>005</vt:lpstr>
      <vt:lpstr>004</vt:lpstr>
      <vt:lpstr>003</vt:lpstr>
      <vt:lpstr>002</vt:lpstr>
      <vt:lpstr>001</vt:lpstr>
      <vt:lpstr>'001'!Print_Area</vt:lpstr>
      <vt:lpstr>'002'!Print_Area</vt:lpstr>
      <vt:lpstr>'003'!Print_Area</vt:lpstr>
      <vt:lpstr>'004'!Print_Area</vt:lpstr>
      <vt:lpstr>'005'!Print_Area</vt:lpstr>
      <vt:lpstr>'006'!Print_Area</vt:lpstr>
      <vt:lpstr>'007'!Print_Area</vt:lpstr>
      <vt:lpstr>'008'!Print_Area</vt:lpstr>
      <vt:lpstr>'009'!Print_Area</vt:lpstr>
      <vt:lpstr>'010'!Print_Area</vt:lpstr>
      <vt:lpstr>'011'!Print_Area</vt:lpstr>
      <vt:lpstr>'012'!Print_Area</vt:lpstr>
      <vt:lpstr>'013'!Print_Area</vt:lpstr>
      <vt:lpstr>'014'!Print_Area</vt:lpstr>
      <vt:lpstr>'015'!Print_Area</vt:lpstr>
      <vt:lpstr>'016'!Print_Area</vt:lpstr>
      <vt:lpstr>'017'!Print_Area</vt:lpstr>
      <vt:lpstr>'018'!Print_Area</vt:lpstr>
      <vt:lpstr>'019'!Print_Area</vt:lpstr>
      <vt:lpstr>'020'!Print_Area</vt:lpstr>
      <vt:lpstr>'021'!Print_Area</vt:lpstr>
      <vt:lpstr>'022'!Print_Area</vt:lpstr>
      <vt:lpstr>'023'!Print_Area</vt:lpstr>
      <vt:lpstr>'024'!Print_Area</vt:lpstr>
      <vt:lpstr>'025'!Print_Area</vt:lpstr>
      <vt:lpstr>'026'!Print_Area</vt:lpstr>
      <vt:lpstr>'027'!Print_Area</vt:lpstr>
      <vt:lpstr>'028'!Print_Area</vt:lpstr>
      <vt:lpstr>'029'!Print_Area</vt:lpstr>
      <vt:lpstr>'030'!Print_Area</vt:lpstr>
      <vt:lpstr>'031'!Print_Area</vt:lpstr>
      <vt:lpstr>'032'!Print_Area</vt:lpstr>
      <vt:lpstr>'033'!Print_Area</vt:lpstr>
      <vt:lpstr>'034'!Print_Area</vt:lpstr>
      <vt:lpstr>'035'!Print_Area</vt:lpstr>
      <vt:lpstr>'036'!Print_Area</vt:lpstr>
      <vt:lpstr>'037'!Print_Area</vt:lpstr>
      <vt:lpstr>'038'!Print_Area</vt:lpstr>
      <vt:lpstr>'039'!Print_Area</vt:lpstr>
      <vt:lpstr>'040'!Print_Area</vt:lpstr>
      <vt:lpstr>'041'!Print_Area</vt:lpstr>
      <vt:lpstr>'042'!Print_Area</vt:lpstr>
      <vt:lpstr>'043'!Print_Area</vt:lpstr>
      <vt:lpstr>'044'!Print_Area</vt:lpstr>
      <vt:lpstr>'045'!Print_Area</vt:lpstr>
      <vt:lpstr>'046'!Print_Area</vt:lpstr>
      <vt:lpstr>'047'!Print_Area</vt:lpstr>
      <vt:lpstr>'048'!Print_Area</vt:lpstr>
      <vt:lpstr>'049'!Print_Area</vt:lpstr>
      <vt:lpstr>'050'!Print_Area</vt:lpstr>
      <vt:lpstr>'051'!Print_Area</vt:lpstr>
      <vt:lpstr>'052'!Print_Area</vt:lpstr>
      <vt:lpstr>'060'!Print_Area</vt:lpstr>
      <vt:lpstr>'061'!Print_Area</vt:lpstr>
      <vt:lpstr>'062'!Print_Area</vt:lpstr>
      <vt:lpstr>'063'!Print_Area</vt:lpstr>
      <vt:lpstr>'064'!Print_Area</vt:lpstr>
      <vt:lpstr>'065'!Print_Area</vt:lpstr>
      <vt:lpstr>'066'!Print_Area</vt:lpstr>
      <vt:lpstr>'067'!Print_Area</vt:lpstr>
      <vt:lpstr>'079'!Print_Area</vt:lpstr>
      <vt:lpstr>'080'!Print_Area</vt:lpstr>
      <vt:lpstr>'081'!Print_Area</vt:lpstr>
      <vt:lpstr>'082'!Print_Area</vt:lpstr>
      <vt:lpstr>'091'!Print_Area</vt:lpstr>
      <vt:lpstr>'092'!Print_Area</vt:lpstr>
      <vt:lpstr>'093'!Print_Area</vt:lpstr>
      <vt:lpstr>'094'!Print_Area</vt:lpstr>
      <vt:lpstr>'095'!Print_Area</vt:lpstr>
      <vt:lpstr>'096'!Print_Area</vt:lpstr>
      <vt:lpstr>'097'!Print_Area</vt:lpstr>
      <vt:lpstr>'098'!Print_Area</vt:lpstr>
      <vt:lpstr>'099'!Print_Area</vt:lpstr>
      <vt:lpstr>'100'!Print_Area</vt:lpstr>
      <vt:lpstr>'101'!Print_Area</vt:lpstr>
      <vt:lpstr>'102'!Print_Area</vt:lpstr>
      <vt:lpstr>'103'!Print_Area</vt:lpstr>
      <vt:lpstr>'104'!Print_Area</vt:lpstr>
      <vt:lpstr>'105'!Print_Area</vt:lpstr>
      <vt:lpstr>'106'!Print_Area</vt:lpstr>
      <vt:lpstr>'107'!Print_Area</vt:lpstr>
      <vt:lpstr>'108'!Print_Area</vt:lpstr>
      <vt:lpstr>'109'!Print_Area</vt:lpstr>
      <vt:lpstr>'110'!Print_Area</vt:lpstr>
      <vt:lpstr>'111'!Print_Area</vt:lpstr>
      <vt:lpstr>'112'!Print_Area</vt:lpstr>
      <vt:lpstr>'113'!Print_Area</vt:lpstr>
      <vt:lpstr>'114'!Print_Area</vt:lpstr>
      <vt:lpstr>'115'!Print_Area</vt:lpstr>
      <vt:lpstr>'116'!Print_Area</vt:lpstr>
      <vt:lpstr>'117'!Print_Area</vt:lpstr>
      <vt:lpstr>'118'!Print_Area</vt:lpstr>
      <vt:lpstr>'119'!Print_Area</vt:lpstr>
      <vt:lpstr>'120'!Print_Area</vt:lpstr>
      <vt:lpstr>'121'!Print_Area</vt:lpstr>
      <vt:lpstr>'122'!Print_Area</vt:lpstr>
      <vt:lpstr>'123'!Print_Area</vt:lpstr>
      <vt:lpstr>'124'!Print_Area</vt:lpstr>
      <vt:lpstr>'125'!Print_Area</vt:lpstr>
      <vt:lpstr>'126'!Print_Area</vt:lpstr>
      <vt:lpstr>'127'!Print_Area</vt:lpstr>
      <vt:lpstr>'128'!Print_Area</vt:lpstr>
      <vt:lpstr>'129'!Print_Area</vt:lpstr>
      <vt:lpstr>'130'!Print_Area</vt:lpstr>
      <vt:lpstr>'131'!Print_Area</vt:lpstr>
      <vt:lpstr>'132'!Print_Area</vt:lpstr>
      <vt:lpstr>'133'!Print_Area</vt:lpstr>
      <vt:lpstr>'134'!Print_Area</vt:lpstr>
      <vt:lpstr>'135'!Print_Area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newington mindanao</dc:creator>
  <cp:lastModifiedBy>Jahasiel Dela Pena</cp:lastModifiedBy>
  <cp:lastPrinted>2024-06-14T01:48:20Z</cp:lastPrinted>
  <dcterms:created xsi:type="dcterms:W3CDTF">2024-01-09T02:06:41Z</dcterms:created>
  <dcterms:modified xsi:type="dcterms:W3CDTF">2024-07-11T02:13:34Z</dcterms:modified>
</cp:coreProperties>
</file>